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0380" windowHeight="7308" activeTab="0"/>
  </bookViews>
  <sheets>
    <sheet name="By Year" sheetId="1" r:id="rId1"/>
    <sheet name="By Opponent" sheetId="2" r:id="rId2"/>
    <sheet name="Summary" sheetId="3" r:id="rId3"/>
  </sheets>
  <definedNames>
    <definedName name="_xlnm.Print_Area" localSheetId="1">'By Opponent'!$A$5:$AR$1478</definedName>
    <definedName name="_xlnm.Print_Area" localSheetId="0">'By Year'!$A$5:$AR$1564</definedName>
    <definedName name="_xlnm.Print_Area" localSheetId="2">'Summary'!$A$5:$G$134</definedName>
    <definedName name="_xlnm.Print_Titles" localSheetId="1">'By Opponent'!$1:$4</definedName>
    <definedName name="_xlnm.Print_Titles" localSheetId="0">'By Year'!$1:$4</definedName>
    <definedName name="_xlnm.Print_Titles" localSheetId="2">'Summary'!$1:$4</definedName>
    <definedName name="Print_Titles_MI">'By Year'!$4:$4</definedName>
  </definedNames>
  <calcPr fullCalcOnLoad="1"/>
</workbook>
</file>

<file path=xl/sharedStrings.xml><?xml version="1.0" encoding="utf-8"?>
<sst xmlns="http://schemas.openxmlformats.org/spreadsheetml/2006/main" count="12602" uniqueCount="2409">
  <si>
    <t>Aaron Sayers (3.1)</t>
  </si>
  <si>
    <t>Will Pryor (4)</t>
  </si>
  <si>
    <t xml:space="preserve">Dick Rafferty    </t>
  </si>
  <si>
    <t xml:space="preserve">Foster    </t>
  </si>
  <si>
    <t xml:space="preserve">Ray Caldwell    </t>
  </si>
  <si>
    <t xml:space="preserve">Dave Durica    </t>
  </si>
  <si>
    <t xml:space="preserve">Jim Catherman    </t>
  </si>
  <si>
    <t xml:space="preserve">Zorger    </t>
  </si>
  <si>
    <t xml:space="preserve">Gib Richards    </t>
  </si>
  <si>
    <t xml:space="preserve">Al Longley    </t>
  </si>
  <si>
    <t xml:space="preserve">Heffner    </t>
  </si>
  <si>
    <t xml:space="preserve">Carl Kriebel    </t>
  </si>
  <si>
    <t xml:space="preserve">Del Billotte    </t>
  </si>
  <si>
    <t xml:space="preserve">Bob Jay    </t>
  </si>
  <si>
    <t xml:space="preserve">Read    </t>
  </si>
  <si>
    <t xml:space="preserve">Vince Holliday    </t>
  </si>
  <si>
    <t xml:space="preserve">Dave Durcia    </t>
  </si>
  <si>
    <t xml:space="preserve">Michaels    </t>
  </si>
  <si>
    <t xml:space="preserve">Clair Sunderland    </t>
  </si>
  <si>
    <t>Jason Mattern (7)</t>
  </si>
  <si>
    <t>Craig Gardner (7)</t>
  </si>
  <si>
    <t>Jon Neff (4.2)</t>
  </si>
  <si>
    <t>Jeff Salavage (5)</t>
  </si>
  <si>
    <t>Ryan Fisher (4.1)</t>
  </si>
  <si>
    <t>Derrick Yohe (2.2)</t>
  </si>
  <si>
    <t>Moriarity</t>
  </si>
  <si>
    <t>Blasko</t>
  </si>
  <si>
    <t>Not Available</t>
  </si>
  <si>
    <t>Reifer</t>
  </si>
  <si>
    <t>Harchak</t>
  </si>
  <si>
    <t>Hurley</t>
  </si>
  <si>
    <t>Camburg</t>
  </si>
  <si>
    <t>Pancoast</t>
  </si>
  <si>
    <t>Garman</t>
  </si>
  <si>
    <t>Crain</t>
  </si>
  <si>
    <t>Diehl</t>
  </si>
  <si>
    <t>DeSalve</t>
  </si>
  <si>
    <t>Rogan</t>
  </si>
  <si>
    <t>Pane</t>
  </si>
  <si>
    <t>Reider</t>
  </si>
  <si>
    <t>Romanic</t>
  </si>
  <si>
    <t>Sidorick</t>
  </si>
  <si>
    <t>Philips</t>
  </si>
  <si>
    <t>Caswell</t>
  </si>
  <si>
    <t>Gearhart</t>
  </si>
  <si>
    <t>Felty</t>
  </si>
  <si>
    <t>Lease</t>
  </si>
  <si>
    <t>Howells</t>
  </si>
  <si>
    <t>Dobson</t>
  </si>
  <si>
    <t>Ralston</t>
  </si>
  <si>
    <t>Trude</t>
  </si>
  <si>
    <t>Bohachik</t>
  </si>
  <si>
    <t>Barto</t>
  </si>
  <si>
    <t>Jack Penick (6)</t>
  </si>
  <si>
    <t>Jack Penick (9)</t>
  </si>
  <si>
    <t>Jack Penick (7)</t>
  </si>
  <si>
    <t>Jack Miller (9)</t>
  </si>
  <si>
    <t>Jack Miller (7)</t>
  </si>
  <si>
    <t>Jack Miller (8)</t>
  </si>
  <si>
    <t>Berton Moyer (9)</t>
  </si>
  <si>
    <t>Berton Moyer (7)</t>
  </si>
  <si>
    <t>Gordon Demi (7)</t>
  </si>
  <si>
    <t>Gordon Demi (11)</t>
  </si>
  <si>
    <t>William Wilson (7)</t>
  </si>
  <si>
    <t>William Wilson (2.1)</t>
  </si>
  <si>
    <t>William Wilson (11)</t>
  </si>
  <si>
    <t>Harold Wilson (7)</t>
  </si>
  <si>
    <t>Harold Wilson (4)</t>
  </si>
  <si>
    <t>Harold Wilson (9)</t>
  </si>
  <si>
    <t>William Wilson (9)</t>
  </si>
  <si>
    <t>Floyd Howell (9)</t>
  </si>
  <si>
    <t>Harold Wilson (8)</t>
  </si>
  <si>
    <t>Dan Johnson (6)</t>
  </si>
  <si>
    <t>Dan Johnson (7)</t>
  </si>
  <si>
    <t>Dan Johnson</t>
  </si>
  <si>
    <t>Dick Keenan</t>
  </si>
  <si>
    <t>Arlan Smith</t>
  </si>
  <si>
    <t>Dave Nortor</t>
  </si>
  <si>
    <t>Tom Wisor</t>
  </si>
  <si>
    <t>Lamar Keenan</t>
  </si>
  <si>
    <t>Don Rhone</t>
  </si>
  <si>
    <t>Barbavich (5)</t>
  </si>
  <si>
    <t>Jeff Salvage (6)</t>
  </si>
  <si>
    <t>Levin (3.1)</t>
  </si>
  <si>
    <t>A Fisher (3)</t>
  </si>
  <si>
    <t>Derrick Yohe (8)</t>
  </si>
  <si>
    <t>Bill Young (7)</t>
  </si>
  <si>
    <t>Craig Gardner (5.1)</t>
  </si>
  <si>
    <t>Josh Fuller (3.1)</t>
  </si>
  <si>
    <t>Derrick Yohe (7.2)</t>
  </si>
  <si>
    <t>Josh Potter (8)</t>
  </si>
  <si>
    <t>Chad Kiehl (7)</t>
  </si>
  <si>
    <t>Craig Gardner (4.1)</t>
  </si>
  <si>
    <t>Christian Muth (6)</t>
  </si>
  <si>
    <t>Corey Bookhamer (6)</t>
  </si>
  <si>
    <t>Steve Abraham (7)</t>
  </si>
  <si>
    <t>Ryan Frankhouser (3)</t>
  </si>
  <si>
    <t>Ryan Delucia (5)</t>
  </si>
  <si>
    <t>Tom McGough (4)</t>
  </si>
  <si>
    <t>Mike Davidson (7)</t>
  </si>
  <si>
    <t>Nate Stone (4.1)</t>
  </si>
  <si>
    <t>Craig Gardner (6)</t>
  </si>
  <si>
    <t>Jason Mattern (3.1)</t>
  </si>
  <si>
    <t>Ryan Delucia (7)</t>
  </si>
  <si>
    <t>Martz (4)</t>
  </si>
  <si>
    <t>Mike Davidson (5)</t>
  </si>
  <si>
    <t>Jason Brindle (2)</t>
  </si>
  <si>
    <t>Mike Sayers (6)</t>
  </si>
  <si>
    <t>Brady Waltz (4)</t>
  </si>
  <si>
    <t>Chris Vassallo (1.2)</t>
  </si>
  <si>
    <t>Jon Wilson (5.2)</t>
  </si>
  <si>
    <t>Shawn Manning (4)</t>
  </si>
  <si>
    <t>Matt Moyer (7)</t>
  </si>
  <si>
    <t>Cody Caris (1.2)</t>
  </si>
  <si>
    <t>Mike Davidson (6)</t>
  </si>
  <si>
    <t>Elliott Wagner (5)</t>
  </si>
  <si>
    <t>Jayme Fye (7)</t>
  </si>
  <si>
    <t>Smith (7)</t>
  </si>
  <si>
    <t>Craig Gardner (8)</t>
  </si>
  <si>
    <t>E Smith (2)</t>
  </si>
  <si>
    <t>Mike Davidson (6.2)</t>
  </si>
  <si>
    <t>Kirk Hays (4)</t>
  </si>
  <si>
    <t>Craig Gardner (1)</t>
  </si>
  <si>
    <t>Nick Reynolds (7)</t>
  </si>
  <si>
    <t>15-</t>
  </si>
  <si>
    <t>Hopewell</t>
  </si>
  <si>
    <t>Harborcreek</t>
  </si>
  <si>
    <t>Ben Legach (4.2)</t>
  </si>
  <si>
    <t>Michael Moyer (6.1)</t>
  </si>
  <si>
    <t>Andy Smithmyer (6)</t>
  </si>
  <si>
    <t>Aaron Sayers (0)</t>
  </si>
  <si>
    <t>Dylan Kachmar (1.2)</t>
  </si>
  <si>
    <t>Bellwood-Antis</t>
  </si>
  <si>
    <t>Connellsville</t>
  </si>
  <si>
    <t>17-</t>
  </si>
  <si>
    <t>Somerset</t>
  </si>
  <si>
    <t>18-</t>
  </si>
  <si>
    <t>Lewistown</t>
  </si>
  <si>
    <t>Bradford</t>
  </si>
  <si>
    <t>DATE</t>
  </si>
  <si>
    <t>OPPONENT</t>
  </si>
  <si>
    <t>10</t>
  </si>
  <si>
    <t>11</t>
  </si>
  <si>
    <t>12</t>
  </si>
  <si>
    <t>13</t>
  </si>
  <si>
    <t>14</t>
  </si>
  <si>
    <t>15</t>
  </si>
  <si>
    <t>Corey Bookhammer (4.2)</t>
  </si>
  <si>
    <t>Tommy Bush (4)</t>
  </si>
  <si>
    <t>R</t>
  </si>
  <si>
    <t>H</t>
  </si>
  <si>
    <t>E</t>
  </si>
  <si>
    <t>AT</t>
  </si>
  <si>
    <t>Philipsburg</t>
  </si>
  <si>
    <t>Houtzdale</t>
  </si>
  <si>
    <t xml:space="preserve"> 6-</t>
  </si>
  <si>
    <t xml:space="preserve"> 4</t>
  </si>
  <si>
    <t>Penfield</t>
  </si>
  <si>
    <t xml:space="preserve"> X</t>
  </si>
  <si>
    <t>Walker (9)</t>
  </si>
  <si>
    <t>Osceola</t>
  </si>
  <si>
    <t>Port Matilda</t>
  </si>
  <si>
    <t>X</t>
  </si>
  <si>
    <t>1939</t>
  </si>
  <si>
    <t>1940</t>
  </si>
  <si>
    <t>Westover</t>
  </si>
  <si>
    <t>16-</t>
  </si>
  <si>
    <t xml:space="preserve"> 2</t>
  </si>
  <si>
    <t>Altoona</t>
  </si>
  <si>
    <t>Curwensville</t>
  </si>
  <si>
    <t>Kiski</t>
  </si>
  <si>
    <t>CC</t>
  </si>
  <si>
    <t>1941</t>
  </si>
  <si>
    <t xml:space="preserve"> 0</t>
  </si>
  <si>
    <t>Bellefonte</t>
  </si>
  <si>
    <t>State College</t>
  </si>
  <si>
    <t>14-</t>
  </si>
  <si>
    <t xml:space="preserve"> 1</t>
  </si>
  <si>
    <t>Morrisdale</t>
  </si>
  <si>
    <t>1945</t>
  </si>
  <si>
    <t xml:space="preserve"> 5-</t>
  </si>
  <si>
    <t xml:space="preserve"> 6</t>
  </si>
  <si>
    <t>Madera</t>
  </si>
  <si>
    <t>Punxsutawney</t>
  </si>
  <si>
    <t>Mahaffey</t>
  </si>
  <si>
    <t xml:space="preserve"> 2- </t>
  </si>
  <si>
    <t>1947</t>
  </si>
  <si>
    <t>Houtzdale-Woodward</t>
  </si>
  <si>
    <t xml:space="preserve"> 3-</t>
  </si>
  <si>
    <t>1948</t>
  </si>
  <si>
    <t xml:space="preserve"> 4-</t>
  </si>
  <si>
    <t>DuBois</t>
  </si>
  <si>
    <t>Brookville</t>
  </si>
  <si>
    <t xml:space="preserve"> 8-</t>
  </si>
  <si>
    <t xml:space="preserve"> 7</t>
  </si>
  <si>
    <t>Sykesville</t>
  </si>
  <si>
    <t xml:space="preserve"> 7-</t>
  </si>
  <si>
    <t xml:space="preserve"> 3</t>
  </si>
  <si>
    <t xml:space="preserve"> 4- </t>
  </si>
  <si>
    <t>Krase (7)</t>
  </si>
  <si>
    <t xml:space="preserve"> 2-</t>
  </si>
  <si>
    <t>1943</t>
  </si>
  <si>
    <t>1944</t>
  </si>
  <si>
    <t>Kovalenko (7)</t>
  </si>
  <si>
    <t>PAUL SMITH</t>
  </si>
  <si>
    <t>6</t>
  </si>
  <si>
    <t xml:space="preserve"> 9-</t>
  </si>
  <si>
    <t>Bruce (7)</t>
  </si>
  <si>
    <t>Andrew Janoko (3)</t>
  </si>
  <si>
    <t>Brandon Evans (3)</t>
  </si>
  <si>
    <t>Trey Wallace (4)</t>
  </si>
  <si>
    <t>Brandon Evans (2.2)</t>
  </si>
  <si>
    <t>Trey Wallace (7)</t>
  </si>
  <si>
    <t xml:space="preserve">O'Dell </t>
  </si>
  <si>
    <t>Anthony Trutt</t>
  </si>
  <si>
    <t>Gregg Webster (4)</t>
  </si>
  <si>
    <t>Deans (5.1)</t>
  </si>
  <si>
    <t>Reesman (5)</t>
  </si>
  <si>
    <t>Randolph (7)</t>
  </si>
  <si>
    <t>Shultz (7)</t>
  </si>
  <si>
    <t xml:space="preserve"> 5</t>
  </si>
  <si>
    <t>Platt (7)</t>
  </si>
  <si>
    <t>Schereden (7)</t>
  </si>
  <si>
    <t>Teaman (3)</t>
  </si>
  <si>
    <t>Sigler (6)</t>
  </si>
  <si>
    <t>Heffner (6)</t>
  </si>
  <si>
    <t>Barner (1.1)</t>
  </si>
  <si>
    <t>Fox (3)</t>
  </si>
  <si>
    <t>Schnarrs (.2)</t>
  </si>
  <si>
    <t>Fenton (7)</t>
  </si>
  <si>
    <t>Gaffey (5)</t>
  </si>
  <si>
    <t>Brockway</t>
  </si>
  <si>
    <t>Crawford (5)</t>
  </si>
  <si>
    <t>McMillen (2.2)</t>
  </si>
  <si>
    <t>Braid (7)</t>
  </si>
  <si>
    <t xml:space="preserve"> 9</t>
  </si>
  <si>
    <t>Philipsburg-Osceola</t>
  </si>
  <si>
    <t xml:space="preserve">AT </t>
  </si>
  <si>
    <t>Yarger (2)</t>
  </si>
  <si>
    <t>VS</t>
  </si>
  <si>
    <t>MVL</t>
  </si>
  <si>
    <t>Glendale</t>
  </si>
  <si>
    <t>Flemming (3)</t>
  </si>
  <si>
    <t>D6</t>
  </si>
  <si>
    <t>10-</t>
  </si>
  <si>
    <t>Sagannes (6)</t>
  </si>
  <si>
    <t>FORFEIT</t>
  </si>
  <si>
    <t>Claysburg-Kimmel</t>
  </si>
  <si>
    <t>Heverly (6)</t>
  </si>
  <si>
    <t>Harmony</t>
  </si>
  <si>
    <t>13-</t>
  </si>
  <si>
    <t>Portage</t>
  </si>
  <si>
    <t>12-</t>
  </si>
  <si>
    <t>Hopkins (3)</t>
  </si>
  <si>
    <t>Williamsport</t>
  </si>
  <si>
    <t>Brown (4)</t>
  </si>
  <si>
    <t>Rachau (3.2)</t>
  </si>
  <si>
    <t>CPL</t>
  </si>
  <si>
    <t>D9</t>
  </si>
  <si>
    <t>Warren</t>
  </si>
  <si>
    <t>PIAA</t>
  </si>
  <si>
    <t>Haggard (4)</t>
  </si>
  <si>
    <t>Stevenson (2)</t>
  </si>
  <si>
    <t>24-</t>
  </si>
  <si>
    <t>Culliver (3)</t>
  </si>
  <si>
    <t>Pepetti (4)</t>
  </si>
  <si>
    <t>Rhoa (6)</t>
  </si>
  <si>
    <t>CAHS</t>
  </si>
  <si>
    <t>Walter (1.2)</t>
  </si>
  <si>
    <t>Ridgway</t>
  </si>
  <si>
    <t>Woodcock (5)</t>
  </si>
  <si>
    <t>Folt (2)</t>
  </si>
  <si>
    <t>Langley</t>
  </si>
  <si>
    <t>Montoursville</t>
  </si>
  <si>
    <t>25-</t>
  </si>
  <si>
    <t>Heil (.1)</t>
  </si>
  <si>
    <t>Hoff (4)</t>
  </si>
  <si>
    <t>Rice (7)</t>
  </si>
  <si>
    <t>Winter (2.2)</t>
  </si>
  <si>
    <t>Indiana</t>
  </si>
  <si>
    <t>Bevlin (3.2)</t>
  </si>
  <si>
    <t>Easton</t>
  </si>
  <si>
    <t>Chambersburg</t>
  </si>
  <si>
    <t>20-</t>
  </si>
  <si>
    <t>Kosut (7)</t>
  </si>
  <si>
    <t>Richardson (5.1)</t>
  </si>
  <si>
    <t>Wilkerson (1.1)</t>
  </si>
  <si>
    <t>Ferrell (1)</t>
  </si>
  <si>
    <t>McLaughlin (4)</t>
  </si>
  <si>
    <t>Strawser (1.2)</t>
  </si>
  <si>
    <t>Hollidaysburg</t>
  </si>
  <si>
    <t>Bideispach (6)</t>
  </si>
  <si>
    <t>Blackhawk</t>
  </si>
  <si>
    <t>Wright (5.1)</t>
  </si>
  <si>
    <t>26-</t>
  </si>
  <si>
    <t>Trevillian (4)</t>
  </si>
  <si>
    <t>Geissinger (4)</t>
  </si>
  <si>
    <t>Tyrone</t>
  </si>
  <si>
    <t>Roush (3.2)</t>
  </si>
  <si>
    <t>McCormick (1.1)</t>
  </si>
  <si>
    <t>Lanager (2)</t>
  </si>
  <si>
    <t>Proctor (4.1)</t>
  </si>
  <si>
    <t>22-</t>
  </si>
  <si>
    <t>Foster (6)</t>
  </si>
  <si>
    <t>Bedford</t>
  </si>
  <si>
    <t>Huntingdon</t>
  </si>
  <si>
    <t>Gray (7)</t>
  </si>
  <si>
    <t>Saylor (5)</t>
  </si>
  <si>
    <t>Williams (3)</t>
  </si>
  <si>
    <t>7</t>
  </si>
  <si>
    <t>Watkins (7)</t>
  </si>
  <si>
    <t/>
  </si>
  <si>
    <t>Soelinger (4.1)</t>
  </si>
  <si>
    <t>Burkett (1.2)</t>
  </si>
  <si>
    <t>Brown (7)</t>
  </si>
  <si>
    <t>Balcom (7)</t>
  </si>
  <si>
    <t>Moss (5)</t>
  </si>
  <si>
    <t>Everhart (3)</t>
  </si>
  <si>
    <t>Warefield (2.1)</t>
  </si>
  <si>
    <t>Mitchell (1.2)</t>
  </si>
  <si>
    <t>Hasselman (7)</t>
  </si>
  <si>
    <t>Shawley (7)</t>
  </si>
  <si>
    <t>Maurer (1.1)</t>
  </si>
  <si>
    <t xml:space="preserve"> 8</t>
  </si>
  <si>
    <t>Schenley</t>
  </si>
  <si>
    <t>Shaler</t>
  </si>
  <si>
    <t>9-</t>
  </si>
  <si>
    <t>Cooper Township</t>
  </si>
  <si>
    <t>Woodward Township</t>
  </si>
  <si>
    <t>NO TEAM BECAUSE OF WORLD WAR II</t>
  </si>
  <si>
    <t>Bigler Township</t>
  </si>
  <si>
    <t>Moshannon Valley</t>
  </si>
  <si>
    <t>Winters</t>
  </si>
  <si>
    <t>Reed</t>
  </si>
  <si>
    <t>Krumrine</t>
  </si>
  <si>
    <t>Gusky</t>
  </si>
  <si>
    <t>Cochran</t>
  </si>
  <si>
    <t>Raybuck</t>
  </si>
  <si>
    <t>Lewis</t>
  </si>
  <si>
    <t>Soltys</t>
  </si>
  <si>
    <t>Marusiak</t>
  </si>
  <si>
    <t>Kniss</t>
  </si>
  <si>
    <t>DeChurch</t>
  </si>
  <si>
    <t>Baer</t>
  </si>
  <si>
    <t>Gulish</t>
  </si>
  <si>
    <t>Smith</t>
  </si>
  <si>
    <t>Bottomley</t>
  </si>
  <si>
    <t>Hone</t>
  </si>
  <si>
    <t>Bates</t>
  </si>
  <si>
    <t>Boyle</t>
  </si>
  <si>
    <t>Costlow</t>
  </si>
  <si>
    <t>McMullen</t>
  </si>
  <si>
    <t>Emerick</t>
  </si>
  <si>
    <t>Gustkey</t>
  </si>
  <si>
    <t>Johnson</t>
  </si>
  <si>
    <t>Fetters</t>
  </si>
  <si>
    <t>Bottomkey</t>
  </si>
  <si>
    <t>Ritchey</t>
  </si>
  <si>
    <t>Hepner</t>
  </si>
  <si>
    <t>Lingenfelter</t>
  </si>
  <si>
    <t>Buckabee</t>
  </si>
  <si>
    <t>Davey</t>
  </si>
  <si>
    <t>Gehrdes</t>
  </si>
  <si>
    <t>Paul</t>
  </si>
  <si>
    <t>Hagun</t>
  </si>
  <si>
    <t>O'Dell</t>
  </si>
  <si>
    <t>Amoriello</t>
  </si>
  <si>
    <t>St Marys</t>
  </si>
  <si>
    <t>New Bethlehem</t>
  </si>
  <si>
    <t>Sandy Township</t>
  </si>
  <si>
    <t>Redbank Valley</t>
  </si>
  <si>
    <t>West Branch</t>
  </si>
  <si>
    <t>Reade Township</t>
  </si>
  <si>
    <t>Marion Center</t>
  </si>
  <si>
    <t>Bald Eagle Area</t>
  </si>
  <si>
    <t>St Francis</t>
  </si>
  <si>
    <t>Penn Highlands</t>
  </si>
  <si>
    <t xml:space="preserve">Penn Highlands </t>
  </si>
  <si>
    <t>Lock Haven</t>
  </si>
  <si>
    <t>Penns Valley</t>
  </si>
  <si>
    <t>Michael Moyer (6)</t>
  </si>
  <si>
    <t>Robert Gummo (4)</t>
  </si>
  <si>
    <t>Bald Eagle Nittany</t>
  </si>
  <si>
    <t xml:space="preserve">Laurel Valley </t>
  </si>
  <si>
    <t>Wes Borden (7)</t>
  </si>
  <si>
    <t>Bishop Guilfoyle</t>
  </si>
  <si>
    <t>West Perry</t>
  </si>
  <si>
    <t>Valley View</t>
  </si>
  <si>
    <t>Chief Logan</t>
  </si>
  <si>
    <t xml:space="preserve">NC School of Math </t>
  </si>
  <si>
    <t>Upper Darby</t>
  </si>
  <si>
    <t>Forest Hills</t>
  </si>
  <si>
    <t>Indian Valley</t>
  </si>
  <si>
    <t>Erie Cathedral Prep</t>
  </si>
  <si>
    <t>North Allegany</t>
  </si>
  <si>
    <t>Pitcher of Record</t>
  </si>
  <si>
    <t>WON BLACK DIAMOND LEAGUE</t>
  </si>
  <si>
    <t>WON COUNTY CHAMPIONSHIP</t>
  </si>
  <si>
    <t xml:space="preserve">PAUL SMITH </t>
  </si>
  <si>
    <t xml:space="preserve">WON BLACK DIAMOND LEAGUE </t>
  </si>
  <si>
    <t>Hal Bowers (7)</t>
  </si>
  <si>
    <t>Jim Hoover (6)</t>
  </si>
  <si>
    <t>Bill Norris (7)</t>
  </si>
  <si>
    <t>Al Skonier (7)</t>
  </si>
  <si>
    <t>John Stoehr (7)</t>
  </si>
  <si>
    <t>Bill Norris (8)</t>
  </si>
  <si>
    <t>Fred Sherkel (8)</t>
  </si>
  <si>
    <t>Jim Hoover (7)</t>
  </si>
  <si>
    <t>Fred Sherkel (6)</t>
  </si>
  <si>
    <t>Arlan Smith (7)</t>
  </si>
  <si>
    <t>Snick Keenan (6.2)</t>
  </si>
  <si>
    <t>Joe Gulish (8)</t>
  </si>
  <si>
    <t>Snick Keenan (7)</t>
  </si>
  <si>
    <t>Arlan Smith (8)</t>
  </si>
  <si>
    <t>Don Rhone (7)</t>
  </si>
  <si>
    <t>Arlan Smith (6)</t>
  </si>
  <si>
    <t>Bill Costlow (7)</t>
  </si>
  <si>
    <t>Jack Bodle (7)</t>
  </si>
  <si>
    <t>Richard Shrock (6)</t>
  </si>
  <si>
    <t>Bob Vokes (6.1)</t>
  </si>
  <si>
    <t>Drex Demi (6)</t>
  </si>
  <si>
    <t>Jack Kline (7)</t>
  </si>
  <si>
    <t>Eli Johnson (7)</t>
  </si>
  <si>
    <t>Bill Kritzer (7)</t>
  </si>
  <si>
    <t>Russ Letterman (7)</t>
  </si>
  <si>
    <t>Josh Harbold (1)</t>
  </si>
  <si>
    <t>AJ Yoder (5)</t>
  </si>
  <si>
    <t>Dennis Yohe (4.2)</t>
  </si>
  <si>
    <t>Brian Robbins (6)</t>
  </si>
  <si>
    <t>Dennis Yohe (6)</t>
  </si>
  <si>
    <t>Justin Fye (7)</t>
  </si>
  <si>
    <t>Travis Schenck (3)</t>
  </si>
  <si>
    <t>Dennis Yohe (7)</t>
  </si>
  <si>
    <t>Jason McIntyre (4.2)</t>
  </si>
  <si>
    <t>Travis Schenck (7)</t>
  </si>
  <si>
    <t>George Covert (.2)</t>
  </si>
  <si>
    <t>Josh Hillard (4)</t>
  </si>
  <si>
    <t>Fred McMurtrie (6)</t>
  </si>
  <si>
    <t>Jeff Shaffer(1.1)</t>
  </si>
  <si>
    <t>Aaron Bubb (3.2)</t>
  </si>
  <si>
    <t>Anthony Shank (3)</t>
  </si>
  <si>
    <t>Parker Herrington (2.1)</t>
  </si>
  <si>
    <t>Michael Moyer (3.1)</t>
  </si>
  <si>
    <t>Tyler Ferry (6)</t>
  </si>
  <si>
    <t>Matt Haney (7)</t>
  </si>
  <si>
    <t>Dan McCall (7)</t>
  </si>
  <si>
    <t>George Covert (6)</t>
  </si>
  <si>
    <t>TJ Gornati (6.2)</t>
  </si>
  <si>
    <t>Paul Kozak (5)</t>
  </si>
  <si>
    <t>Chad Bridle (1.1)</t>
  </si>
  <si>
    <t>George Covert (7)</t>
  </si>
  <si>
    <t>Steve Bucha (4.2)</t>
  </si>
  <si>
    <t>Matt Gourley (4.1)</t>
  </si>
  <si>
    <t>Nate Lehman(5)</t>
  </si>
  <si>
    <t>Travis Schenck (4)</t>
  </si>
  <si>
    <t>Mike Gormont (.2)</t>
  </si>
  <si>
    <t>Justin Fye (6)</t>
  </si>
  <si>
    <t>Matt Gourley (3.2)</t>
  </si>
  <si>
    <t>TJ Gornati (7)</t>
  </si>
  <si>
    <t>Dennis Yohe (6.2)</t>
  </si>
  <si>
    <t>Landon Yingling (7)</t>
  </si>
  <si>
    <t>Brandon Evans (7)</t>
  </si>
  <si>
    <t>Juniata</t>
  </si>
  <si>
    <t>Brandon Evans (4)</t>
  </si>
  <si>
    <t>Brandon Evans (5)</t>
  </si>
  <si>
    <t>Andrew Janocko (6.2)</t>
  </si>
  <si>
    <t>Michael Moyer (1.1)</t>
  </si>
  <si>
    <t>Andrew Janocko (1.2)</t>
  </si>
  <si>
    <t>Michael Moyer (4.1)</t>
  </si>
  <si>
    <t>Andrew Janocko (7)</t>
  </si>
  <si>
    <t>Miehael Moyer (5)</t>
  </si>
  <si>
    <t>Andrew Janocko (6.1)</t>
  </si>
  <si>
    <t>Andrew Janocko (5)</t>
  </si>
  <si>
    <t>Andrew Janocko (2)</t>
  </si>
  <si>
    <t>Drew Hipps (6)</t>
  </si>
  <si>
    <t>Andrew Janocko (3.1)</t>
  </si>
  <si>
    <t>Michael Moyer (3)</t>
  </si>
  <si>
    <t>Michael Moyer (7)</t>
  </si>
  <si>
    <t>Brandon Evans (1.2)</t>
  </si>
  <si>
    <t>Ray Klinger (3)</t>
  </si>
  <si>
    <t>Nick Gillung (7)</t>
  </si>
  <si>
    <t>Anthony Houser (7)</t>
  </si>
  <si>
    <t>Kyle Heane (6)</t>
  </si>
  <si>
    <t>Landon Wahl (6)</t>
  </si>
  <si>
    <t>Andy Keller (4)</t>
  </si>
  <si>
    <t>Alex Marchi (4)</t>
  </si>
  <si>
    <t>Mike Supko (5)</t>
  </si>
  <si>
    <t>Joe Galbraith (5)</t>
  </si>
  <si>
    <t>Brian Kocwik (4)</t>
  </si>
  <si>
    <t>Matt Fullerton (2)</t>
  </si>
  <si>
    <t>Nick Foster (4.2)</t>
  </si>
  <si>
    <t>Nick Long (1.2)</t>
  </si>
  <si>
    <t>Nathan Pray (1)</t>
  </si>
  <si>
    <t>Christian Muth (5)</t>
  </si>
  <si>
    <t>Ben McGarry (3)</t>
  </si>
  <si>
    <t>Tyler Neff (1.2)</t>
  </si>
  <si>
    <t>JR Lucas (7)</t>
  </si>
  <si>
    <t>Michael Moyer (.2)</t>
  </si>
  <si>
    <t>Matt Godwin (5)</t>
  </si>
  <si>
    <t>Tom Dushatinski (2)</t>
  </si>
  <si>
    <t>Steve Norris (4)</t>
  </si>
  <si>
    <t>TJ Gornotti (7)</t>
  </si>
  <si>
    <t>Steve Norris (7)</t>
  </si>
  <si>
    <t>Derick Yohe (6)</t>
  </si>
  <si>
    <t>Dennis Yohe (3)</t>
  </si>
  <si>
    <t>Albright (4.2)</t>
  </si>
  <si>
    <t>Steve Norris (5)</t>
  </si>
  <si>
    <t>Calvin McClintock (5.2)</t>
  </si>
  <si>
    <t>Brandon Im (5)</t>
  </si>
  <si>
    <t>Seth Whitehill (5)</t>
  </si>
  <si>
    <t>Jim Collins (2.2)</t>
  </si>
  <si>
    <t>Kalen Gearhart (6.2)</t>
  </si>
  <si>
    <t>Brandon Baughman (6)</t>
  </si>
  <si>
    <t>Pat Young (7)</t>
  </si>
  <si>
    <t>Joe Thomas (4)</t>
  </si>
  <si>
    <t>Mike Gearhart (5)</t>
  </si>
  <si>
    <t>Hendershot (2)</t>
  </si>
  <si>
    <t>Jim Collins (4)</t>
  </si>
  <si>
    <t>Dustin Dubensky (3)</t>
  </si>
  <si>
    <t>Calvin McClintock (.1)</t>
  </si>
  <si>
    <t>Dustin Border (5)</t>
  </si>
  <si>
    <t>Cody Racchini (3.2)</t>
  </si>
  <si>
    <t>Calvin McClintock (7)</t>
  </si>
  <si>
    <t>Nate Grove (7)</t>
  </si>
  <si>
    <t>Dan Marino (1.2)</t>
  </si>
  <si>
    <t>Mike Rodriguez (4.2)</t>
  </si>
  <si>
    <t>Matt Moberg (7)</t>
  </si>
  <si>
    <t>Mike Gearhart (2)</t>
  </si>
  <si>
    <t>Brandon Baughman (5)</t>
  </si>
  <si>
    <t>Parker Herrington (3)</t>
  </si>
  <si>
    <t>Brett Quiggle (0.2)</t>
  </si>
  <si>
    <t>Tim Stover (5)</t>
  </si>
  <si>
    <t>Josh Harbold (7)</t>
  </si>
  <si>
    <t>Kyle Anderson (5)</t>
  </si>
  <si>
    <t>Trey Wallace (6.2)</t>
  </si>
  <si>
    <t>Seth Plummer (7)</t>
  </si>
  <si>
    <t>Josh Harbold (4)</t>
  </si>
  <si>
    <t>Mike Supko (4)</t>
  </si>
  <si>
    <t>Max Condon (6.2)</t>
  </si>
  <si>
    <t>Shane Sleek (2)</t>
  </si>
  <si>
    <t>Trey Wallace (5.2)</t>
  </si>
  <si>
    <t>Josh Jones (7)</t>
  </si>
  <si>
    <t>Chris Tressler (7)</t>
  </si>
  <si>
    <t>Max Condon (5)</t>
  </si>
  <si>
    <t>Ed Zapf (2.1)</t>
  </si>
  <si>
    <t>Blake Raley (3)</t>
  </si>
  <si>
    <t>Josh Harbold (3)</t>
  </si>
  <si>
    <t>Brandon Betts (5)</t>
  </si>
  <si>
    <t>John Govezynski (5)</t>
  </si>
  <si>
    <t>Matt Moberg (5)</t>
  </si>
  <si>
    <t>Max Condon (3)</t>
  </si>
  <si>
    <t>Trey Wallace (6.1)</t>
  </si>
  <si>
    <t>Ryan MacNamara (7)</t>
  </si>
  <si>
    <t>Max Condon (7)</t>
  </si>
  <si>
    <t>Brad Reider (7)</t>
  </si>
  <si>
    <t>Liel Karstetter (7)</t>
  </si>
  <si>
    <t>Trey Wallace (6)</t>
  </si>
  <si>
    <t>Aaron Harris (7)</t>
  </si>
  <si>
    <t>Brandon Evans (5.1)</t>
  </si>
  <si>
    <t>Syktich (7)</t>
  </si>
  <si>
    <t>Max Condon (4)</t>
  </si>
  <si>
    <t>Zach Foster (7)</t>
  </si>
  <si>
    <t>Trey Wallace (2)</t>
  </si>
  <si>
    <t>Ryan Briskar (.2)</t>
  </si>
  <si>
    <t>Steve Norris (2)</t>
  </si>
  <si>
    <t>Corey Hoover (2.2)</t>
  </si>
  <si>
    <t>Kyle Stucke (4.2)</t>
  </si>
  <si>
    <t>Pat Young (5)</t>
  </si>
  <si>
    <t>Rob Kulling (5)</t>
  </si>
  <si>
    <t>Bob Markle (2.1)</t>
  </si>
  <si>
    <t>Brandon Baughman (7)</t>
  </si>
  <si>
    <t>Andy Snyder (4.1)</t>
  </si>
  <si>
    <t>Scott Hugney (3)</t>
  </si>
  <si>
    <t>Mason Watson (1)</t>
  </si>
  <si>
    <t>Justin Border (3.1)</t>
  </si>
  <si>
    <t>Nick Heschke (6)</t>
  </si>
  <si>
    <t>Brandon Baughman (3)</t>
  </si>
  <si>
    <t>Mike Sayers (2)</t>
  </si>
  <si>
    <t>Brady Cunningham (1)</t>
  </si>
  <si>
    <t>Scott Hugney (1.2)</t>
  </si>
  <si>
    <t>Nick Grove (8)</t>
  </si>
  <si>
    <t>Andy Reichard (5)</t>
  </si>
  <si>
    <t>Scott Hugney (1.1)</t>
  </si>
  <si>
    <t>Lyden Hilliard (5.2)</t>
  </si>
  <si>
    <t>Cory Bailor (5.2)</t>
  </si>
  <si>
    <t>Brandon Baughman (4)</t>
  </si>
  <si>
    <t>Dan Burfield (6)</t>
  </si>
  <si>
    <t>Justin Foltz (5)</t>
  </si>
  <si>
    <t>Brandon Baughman (2.2)</t>
  </si>
  <si>
    <t>Chris Spiridon (7)</t>
  </si>
  <si>
    <t>Shawn Manning (7)</t>
  </si>
  <si>
    <t>Craig Gardner (3)</t>
  </si>
  <si>
    <t>Doug Kephart (6)</t>
  </si>
  <si>
    <t>Cody Cogan (5.2)</t>
  </si>
  <si>
    <t>Brandon Baughman (5.1)</t>
  </si>
  <si>
    <t>Kyle Stuckey (5)</t>
  </si>
  <si>
    <t>Dan Marino (3)</t>
  </si>
  <si>
    <t>Nichol (1.1)</t>
  </si>
  <si>
    <t>Calvin McClintock (5)</t>
  </si>
  <si>
    <t>Buerk (3)</t>
  </si>
  <si>
    <t>Ryan Marcinko (5.1)</t>
  </si>
  <si>
    <t>Jim Collins (3)</t>
  </si>
  <si>
    <t>Nate Hosley (3.1)</t>
  </si>
  <si>
    <t>Shawn Manning (.2)</t>
  </si>
  <si>
    <t>Trey Wallace (1)</t>
  </si>
  <si>
    <t>Dennis Yohe (4.1)</t>
  </si>
  <si>
    <t>Ford (3)</t>
  </si>
  <si>
    <t>Brett Leister (7)</t>
  </si>
  <si>
    <t>Steve Norris (8)</t>
  </si>
  <si>
    <t>Nick Kissell (8)</t>
  </si>
  <si>
    <t>David Bonney (1.2)</t>
  </si>
  <si>
    <t>Confer (6)</t>
  </si>
  <si>
    <t>Adam Landini (2)</t>
  </si>
  <si>
    <t>Derek Lyson (5)</t>
  </si>
  <si>
    <t>Paul Evans (7)</t>
  </si>
  <si>
    <t>Andy Henry (1.1)</t>
  </si>
  <si>
    <t>Erik Francis (3)</t>
  </si>
  <si>
    <t>Chris Wagner (2.1)</t>
  </si>
  <si>
    <t>Steve Norris (6)</t>
  </si>
  <si>
    <t>Matt Gourley (5.1)</t>
  </si>
  <si>
    <t>Tressler (7)</t>
  </si>
  <si>
    <t>Stever Norris (7)</t>
  </si>
  <si>
    <t>Boyertown</t>
  </si>
  <si>
    <t>Niagara Wheatfield NC</t>
  </si>
  <si>
    <t>Burton VA</t>
  </si>
  <si>
    <t>York VA</t>
  </si>
  <si>
    <t>Bethel VA</t>
  </si>
  <si>
    <t>L Perryman (5)</t>
  </si>
  <si>
    <t>Jeff Barayak (5)</t>
  </si>
  <si>
    <t>Ryan Briskar (6.1)</t>
  </si>
  <si>
    <t>Ben Marzulla (7)</t>
  </si>
  <si>
    <t>Matt Gourley (7)</t>
  </si>
  <si>
    <t>Derrick Yohe (3.1)</t>
  </si>
  <si>
    <t>Fred McMullen (6)</t>
  </si>
  <si>
    <t>John Stark (7)</t>
  </si>
  <si>
    <t>Bob Vokes (7)</t>
  </si>
  <si>
    <t>Clyde Barr (6)</t>
  </si>
  <si>
    <t>Drex Demi (7)</t>
  </si>
  <si>
    <t>Tony Callenbauk (7)</t>
  </si>
  <si>
    <t>Nick Keener (2.1)</t>
  </si>
  <si>
    <t>Don Gates (7)</t>
  </si>
  <si>
    <t>Alvin Proud (6)</t>
  </si>
  <si>
    <t>Ron Barnett (7)</t>
  </si>
  <si>
    <t>Fent Shenkel (6)</t>
  </si>
  <si>
    <t>Alvin Proud (7)</t>
  </si>
  <si>
    <t>Chuck Bonn (6)</t>
  </si>
  <si>
    <t>Drex Demi (3.1)</t>
  </si>
  <si>
    <t>Ray Smith (7)</t>
  </si>
  <si>
    <t>Harry Fenton (7)</t>
  </si>
  <si>
    <t>Bernie Billotte (7)</t>
  </si>
  <si>
    <t>Ward Whitehill (6)</t>
  </si>
  <si>
    <t>Jim Bonn (7)</t>
  </si>
  <si>
    <t>Dick Harzinski (6)</t>
  </si>
  <si>
    <t>Bob Vokes (6)</t>
  </si>
  <si>
    <t>Ed Drapcho (7)</t>
  </si>
  <si>
    <t>Fent Shenkel (7)</t>
  </si>
  <si>
    <t>Bob Lucas (8)</t>
  </si>
  <si>
    <t>Ray Caldwell (2)</t>
  </si>
  <si>
    <t>Hass McMullen (7)</t>
  </si>
  <si>
    <t>Jim Catherman (7)</t>
  </si>
  <si>
    <t>Willie Maier (7)</t>
  </si>
  <si>
    <t>Ray Caldwell (7)</t>
  </si>
  <si>
    <t>Jim Lippert (7)</t>
  </si>
  <si>
    <t>Gib Richards (7)</t>
  </si>
  <si>
    <t>Ray Caldwell (4)</t>
  </si>
  <si>
    <t>Al Longley (7)</t>
  </si>
  <si>
    <t>Dick Wrye (7)</t>
  </si>
  <si>
    <t>Jim Shannon (6)</t>
  </si>
  <si>
    <t>Vince Holliday (6)</t>
  </si>
  <si>
    <t>Dave Durica (7)</t>
  </si>
  <si>
    <t>Merrill Dunlap (6.2)</t>
  </si>
  <si>
    <t>Dick Foster (7)</t>
  </si>
  <si>
    <t>Merrill Dunlap (7)</t>
  </si>
  <si>
    <t>Bill Kaiser (6)</t>
  </si>
  <si>
    <t>Bob Jay (7)</t>
  </si>
  <si>
    <t>Jim Ellinger (7)</t>
  </si>
  <si>
    <t>Bill Foster (7)</t>
  </si>
  <si>
    <t>Bill Kruckenburg (4)</t>
  </si>
  <si>
    <t>Toby Culp (5)</t>
  </si>
  <si>
    <t>Bill Foster (6)</t>
  </si>
  <si>
    <t>Ray Caldwell (6.1)</t>
  </si>
  <si>
    <t>Earl Clouser (7)</t>
  </si>
  <si>
    <t>Ken Mitchell (7)</t>
  </si>
  <si>
    <t>Clair Sunderland (3.1)</t>
  </si>
  <si>
    <t>Michael Moyer (3.2)</t>
  </si>
  <si>
    <t>JD Mason (7)</t>
  </si>
  <si>
    <t>Ken Mitchell (4)</t>
  </si>
  <si>
    <t>Ray Caldwell (6)</t>
  </si>
  <si>
    <t>Bill Crawford (7)</t>
  </si>
  <si>
    <t>Ken Mitchell (2)</t>
  </si>
  <si>
    <t>Glenn Pentz (7)</t>
  </si>
  <si>
    <t>Manny Read (6)</t>
  </si>
  <si>
    <t>Ken Mitchell (5.2)</t>
  </si>
  <si>
    <t>G Williams (6)</t>
  </si>
  <si>
    <t>Bob Jay (5)</t>
  </si>
  <si>
    <t>Bill Heffner (6)</t>
  </si>
  <si>
    <t>Merrill Dunlap (1)</t>
  </si>
  <si>
    <t>Dick Powell (7)</t>
  </si>
  <si>
    <t>Bob Jay (3.1)</t>
  </si>
  <si>
    <t>Bill Kresovich (4)</t>
  </si>
  <si>
    <t>Irvin Curley (7)</t>
  </si>
  <si>
    <t>Bill Hanes (1)</t>
  </si>
  <si>
    <t>Ken Mitchell (6.1)</t>
  </si>
  <si>
    <t>Clair Sunderland (7)</t>
  </si>
  <si>
    <t>Bob Jay (6)</t>
  </si>
  <si>
    <t>McGee Schnarrs (4)</t>
  </si>
  <si>
    <t>Irvin Curley (6)</t>
  </si>
  <si>
    <t>Dave Ferguson (7)</t>
  </si>
  <si>
    <t>Ken Mitchell (5)</t>
  </si>
  <si>
    <t>McGee Schnarrs (7)</t>
  </si>
  <si>
    <t>Ken Mitchell (6)</t>
  </si>
  <si>
    <t>Irvin Curley (.2)</t>
  </si>
  <si>
    <t>Joe Kresovich (7)</t>
  </si>
  <si>
    <t>Mel Woodring (7)</t>
  </si>
  <si>
    <t>Joe Kresovich (6)</t>
  </si>
  <si>
    <t>Carl Williams (7)</t>
  </si>
  <si>
    <t>WON DISTIRCT 9 LEAGUE</t>
  </si>
  <si>
    <t>Graydon Leech (8)</t>
  </si>
  <si>
    <t>Jim Drabant (7)</t>
  </si>
  <si>
    <t>Irvin Curley (3.2)</t>
  </si>
  <si>
    <t>Mel Woodring (6)</t>
  </si>
  <si>
    <t>Fred Craig (7)</t>
  </si>
  <si>
    <t>Ira Showden (.1)</t>
  </si>
  <si>
    <t>Bill Hoffman (7)</t>
  </si>
  <si>
    <t>Lynn Coudriet (7)</t>
  </si>
  <si>
    <t>Fred Feldman (6)</t>
  </si>
  <si>
    <t>Ed Cochrane (7)</t>
  </si>
  <si>
    <t>Lynn Coudriet (14)</t>
  </si>
  <si>
    <t>Ray Feldman (15)</t>
  </si>
  <si>
    <t>John Axelson (7)</t>
  </si>
  <si>
    <t>Ray Feldman (6)</t>
  </si>
  <si>
    <t>HAROLD WILSON</t>
  </si>
  <si>
    <t>Mel Woodring (2.2)</t>
  </si>
  <si>
    <t>Tom Drabant (5)</t>
  </si>
  <si>
    <t>John Axelson (6)</t>
  </si>
  <si>
    <t>Andy Sidorick (7)</t>
  </si>
  <si>
    <t>Ira Showden (7)</t>
  </si>
  <si>
    <t>Fred Catchpole (6)</t>
  </si>
  <si>
    <t>Graydon Leech (6)</t>
  </si>
  <si>
    <t>Marty Keebler (.2)</t>
  </si>
  <si>
    <t>Mel Woodring (2)</t>
  </si>
  <si>
    <t>Ed Cochrane (6.1)</t>
  </si>
  <si>
    <t>Fred Catchpole (7)</t>
  </si>
  <si>
    <t>Graydon Leech (5)</t>
  </si>
  <si>
    <t>Joe Kresovich (5.2)</t>
  </si>
  <si>
    <t>Phil Williams (7)</t>
  </si>
  <si>
    <t>Mike Brigandi (.1)</t>
  </si>
  <si>
    <t>Bob Rusnak (6)</t>
  </si>
  <si>
    <t>Bill Morrison (7)</t>
  </si>
  <si>
    <t>Jim Norris (6)</t>
  </si>
  <si>
    <t>Graydon Leech (7)</t>
  </si>
  <si>
    <t>Bob Facemyer (6.2)</t>
  </si>
  <si>
    <t>Jim Thomas (3.1)</t>
  </si>
  <si>
    <t>Bill Morrison (4)</t>
  </si>
  <si>
    <t>Bob Rusnak (7)</t>
  </si>
  <si>
    <t>Paul Frank (7)</t>
  </si>
  <si>
    <t>Gary Witherow (7)</t>
  </si>
  <si>
    <t>Ken Blessel (6)</t>
  </si>
  <si>
    <t>John Leidig (4)</t>
  </si>
  <si>
    <t>Trevor Flanagan (3.2)</t>
  </si>
  <si>
    <t>Chad Zurat (3.2)</t>
  </si>
  <si>
    <t>Ben Sallade (2.1)</t>
  </si>
  <si>
    <t>Braden Bish (.2)</t>
  </si>
  <si>
    <t>Tyler Jacobson (1)</t>
  </si>
  <si>
    <t>Trevor Flanagan (2)</t>
  </si>
  <si>
    <t>Braedon Pennington (6)</t>
  </si>
  <si>
    <t>Bishop Carroll</t>
  </si>
  <si>
    <t>Chad Zurat (4)</t>
  </si>
  <si>
    <t>Taylor Neal (1.2)</t>
  </si>
  <si>
    <t>Nathan Pope(0)</t>
  </si>
  <si>
    <t>Kurtis Krise (6)</t>
  </si>
  <si>
    <t>Drew McCabe (5)</t>
  </si>
  <si>
    <t>Craig McCloskey (7)</t>
  </si>
  <si>
    <t>Tyler Jacobson (3)</t>
  </si>
  <si>
    <t>Kyle Schneider (7)</t>
  </si>
  <si>
    <t>Andrew Redden (3)</t>
  </si>
  <si>
    <t>Trevor Flanagan (3.1)</t>
  </si>
  <si>
    <t>Dave Sheeley (5)</t>
  </si>
  <si>
    <t>Matt Frederick (6)</t>
  </si>
  <si>
    <t>Kurtis Krise (2.2)</t>
  </si>
  <si>
    <t>Chad Zurat (2.2)</t>
  </si>
  <si>
    <t>Tyler Dombroloski (2)</t>
  </si>
  <si>
    <t>Tyler Jacobson (6.1)</t>
  </si>
  <si>
    <t>Connor Borowski (2)</t>
  </si>
  <si>
    <t>Chad Zurat (5)</t>
  </si>
  <si>
    <t>Jordan Harrington (2.2)</t>
  </si>
  <si>
    <t>Tyler Jacobson (4.1)</t>
  </si>
  <si>
    <t>Corey Flegal (5)</t>
  </si>
  <si>
    <t>Mike Brigandi (7)</t>
  </si>
  <si>
    <t>Bob Facemyer (6)</t>
  </si>
  <si>
    <t>Bill Howell (5)</t>
  </si>
  <si>
    <t>Jim Johnson (.2)</t>
  </si>
  <si>
    <t>Don Morroni (7)</t>
  </si>
  <si>
    <t>Jack Curley (6)</t>
  </si>
  <si>
    <t>Rick Smith (0)</t>
  </si>
  <si>
    <t>Bill Rech (5)</t>
  </si>
  <si>
    <t>Harold Hahn (6)</t>
  </si>
  <si>
    <t>Ken Billotte (5)</t>
  </si>
  <si>
    <t>Terry Verelli (7)</t>
  </si>
  <si>
    <t>Mike Brigandi (1)</t>
  </si>
  <si>
    <t>Bill Rech (7)</t>
  </si>
  <si>
    <t>Ken Billotte (6)</t>
  </si>
  <si>
    <t>Rick Smith (3)</t>
  </si>
  <si>
    <t>Jack Curley (4.1)</t>
  </si>
  <si>
    <t>Arnie Hamm (5)</t>
  </si>
  <si>
    <t>Jack Galley (3)</t>
  </si>
  <si>
    <t>Butch Martell (7)</t>
  </si>
  <si>
    <t>George Shaffer (6)</t>
  </si>
  <si>
    <t>Ken Billotte (0)</t>
  </si>
  <si>
    <t>Jim Rhodes (4)</t>
  </si>
  <si>
    <t>Ken Billotte (4.2)</t>
  </si>
  <si>
    <t>Steve Pajonl (.1)</t>
  </si>
  <si>
    <t>Butch Martell (3.1)</t>
  </si>
  <si>
    <t>Jackie Peters (6)</t>
  </si>
  <si>
    <t>Ken Billotte (7)</t>
  </si>
  <si>
    <t>Dick Crawford (7)</t>
  </si>
  <si>
    <t>Pete Beish (8)</t>
  </si>
  <si>
    <t>Bill Rech (3)</t>
  </si>
  <si>
    <t>Jack Morris (1.1)</t>
  </si>
  <si>
    <t>Charlie Robertson (.1)</t>
  </si>
  <si>
    <t>Pete Beish (7)</t>
  </si>
  <si>
    <t>Gary Verelli (6)</t>
  </si>
  <si>
    <t>Ken Billotte (8)</t>
  </si>
  <si>
    <t>Jim Rhodes (8)</t>
  </si>
  <si>
    <t>Dick Crawford (5.1)</t>
  </si>
  <si>
    <t>Jack Galley (1)</t>
  </si>
  <si>
    <t>Jack Galley (7)</t>
  </si>
  <si>
    <t>Charlie Robertson (5.2)</t>
  </si>
  <si>
    <t>Jack Morris (7)</t>
  </si>
  <si>
    <t>Pete Beish (6)</t>
  </si>
  <si>
    <t>Gerald Wilson (7)</t>
  </si>
  <si>
    <t>Tom Janowiak (8)</t>
  </si>
  <si>
    <t>Jack Curley (7)</t>
  </si>
  <si>
    <t>Terry Andrews (2.2)</t>
  </si>
  <si>
    <t>Pete Beish (5)</t>
  </si>
  <si>
    <t>Keith Billotte (5.2)</t>
  </si>
  <si>
    <t>Tom Bender (6)</t>
  </si>
  <si>
    <t>Jerome Lutz (6)</t>
  </si>
  <si>
    <t>Jay Lutz (6)</t>
  </si>
  <si>
    <t>Larry Stiner (6)</t>
  </si>
  <si>
    <t>Fred Covey (7)</t>
  </si>
  <si>
    <t>Bill Billotte (10)</t>
  </si>
  <si>
    <t>Wayne Morroni (9.2)</t>
  </si>
  <si>
    <t>Larry Maines (7)</t>
  </si>
  <si>
    <t>Dave Sahm (3.1)</t>
  </si>
  <si>
    <t>Bill Billotte (7)</t>
  </si>
  <si>
    <t>Larry Stiner (7)</t>
  </si>
  <si>
    <t>Larry Maines (3.2)</t>
  </si>
  <si>
    <t>Harry Socie (4.2)</t>
  </si>
  <si>
    <t>Jay Lutz (3.1)</t>
  </si>
  <si>
    <t>Larry Maines (5)</t>
  </si>
  <si>
    <t>Dave Sahm (7)</t>
  </si>
  <si>
    <t>Roger Vallimont (7)</t>
  </si>
  <si>
    <t>Wayne Morroni (1.2)</t>
  </si>
  <si>
    <t>Morris Anderson (2.2)</t>
  </si>
  <si>
    <t>Larry Stiner (1.2)</t>
  </si>
  <si>
    <t>Bill Billotte (3.1)</t>
  </si>
  <si>
    <t>Wayne Morroni (7)</t>
  </si>
  <si>
    <t>Fran Gonder (5)</t>
  </si>
  <si>
    <t>Jerry Delucia (2.2)</t>
  </si>
  <si>
    <t>Christian Helsel (4)</t>
  </si>
  <si>
    <t>Parker Herrington (4.2)</t>
  </si>
  <si>
    <t>Brett Quiggle (2)</t>
  </si>
  <si>
    <t>Trevor Flanagan (7)</t>
  </si>
  <si>
    <t>Ryan Zimmerman (4)</t>
  </si>
  <si>
    <t>Larry Maines (6.2)</t>
  </si>
  <si>
    <t>Harry Socie (3.1)</t>
  </si>
  <si>
    <t>Dan Danivir (3)</t>
  </si>
  <si>
    <t>Eric Pelton (3.1)</t>
  </si>
  <si>
    <t>Anthony Biviano (7)</t>
  </si>
  <si>
    <t>Larry Stiner (4)</t>
  </si>
  <si>
    <t>Eric Pelton (3)</t>
  </si>
  <si>
    <t>Bill Billotte (3)</t>
  </si>
  <si>
    <t>Harry Socie (1)</t>
  </si>
  <si>
    <t>Wayne Morroni (3.1)</t>
  </si>
  <si>
    <t>Bill Billotte (2.1)</t>
  </si>
  <si>
    <t>Dave Whitehill (1)</t>
  </si>
  <si>
    <t>Larry Stiner (7.1)</t>
  </si>
  <si>
    <t>Harry Townsend (6)</t>
  </si>
  <si>
    <t>Gary Leigey (7)</t>
  </si>
  <si>
    <t>Eric Pelton (6)</t>
  </si>
  <si>
    <t>Greg Sahm (5.1)</t>
  </si>
  <si>
    <t>Allen Lyda (1.2)</t>
  </si>
  <si>
    <t>Ed Korinchak (1)</t>
  </si>
  <si>
    <t>Bill Anderson (5)</t>
  </si>
  <si>
    <t>Jerry Delucia (4.2)</t>
  </si>
  <si>
    <t>Tom Panacci (1.2)</t>
  </si>
  <si>
    <t>Anthony Biviano (5)</t>
  </si>
  <si>
    <t>Roy Peacock (4)</t>
  </si>
  <si>
    <t>Dan Leitzel (7)</t>
  </si>
  <si>
    <t>Terry Lingenfelter (7)</t>
  </si>
  <si>
    <t>Greg Beish (8)</t>
  </si>
  <si>
    <t>Frank Petula (1.1)</t>
  </si>
  <si>
    <t>Greg Beish (7)</t>
  </si>
  <si>
    <t>Bill Elridge (2.1)</t>
  </si>
  <si>
    <t>Bill Bowley (7)</t>
  </si>
  <si>
    <t>Ron Stewart (5.1)</t>
  </si>
  <si>
    <t>Rick Sherkel (7)</t>
  </si>
  <si>
    <t>Bill Elridge (7)</t>
  </si>
  <si>
    <t>Glenn Shimel (7)</t>
  </si>
  <si>
    <t>Greg Beish (10)</t>
  </si>
  <si>
    <t>Rick Sherkel (10)</t>
  </si>
  <si>
    <t>Tom Kirsch (7)</t>
  </si>
  <si>
    <t>Bill Elridge (3)</t>
  </si>
  <si>
    <t>Bill Bowley (6)</t>
  </si>
  <si>
    <t>Greg Beish (6)</t>
  </si>
  <si>
    <t>Ron Stewart (2.1)</t>
  </si>
  <si>
    <t>Tom Kirsch (3)</t>
  </si>
  <si>
    <t>Joe Olenoski (2)</t>
  </si>
  <si>
    <t>DON TURLEY</t>
  </si>
  <si>
    <t>John Vigne (5)</t>
  </si>
  <si>
    <t>Jim Wingard (7)</t>
  </si>
  <si>
    <t>Greg Beish (4)</t>
  </si>
  <si>
    <t>Ed Astare (8)</t>
  </si>
  <si>
    <t>Gene Ropchick (7)</t>
  </si>
  <si>
    <t>Tom Kirsch (5)</t>
  </si>
  <si>
    <t>Leroy Beal (6)</t>
  </si>
  <si>
    <t>John Tekely (7)</t>
  </si>
  <si>
    <t>Bob McQuillen (4.1)</t>
  </si>
  <si>
    <t>Bill Elridge (5)</t>
  </si>
  <si>
    <t>Kris Jacobs (3.1)</t>
  </si>
  <si>
    <t>Tom Kirsch (6)</t>
  </si>
  <si>
    <t>John Vigne (4)</t>
  </si>
  <si>
    <t>Mike Lawrence (4.2)</t>
  </si>
  <si>
    <t>Bill Putt (7)</t>
  </si>
  <si>
    <t>Barry Baker (6)</t>
  </si>
  <si>
    <t>Mike Wagner (6)</t>
  </si>
  <si>
    <t>Mike Lawrence (6)</t>
  </si>
  <si>
    <t>Jim Slabon (3.2)</t>
  </si>
  <si>
    <t>Rick Sherkel (6)</t>
  </si>
  <si>
    <t>Duane Pataky (2)</t>
  </si>
  <si>
    <t>Jim Wingard (6)</t>
  </si>
  <si>
    <t>Norfolk Collegiate VA</t>
  </si>
  <si>
    <t>Jody DellAntonio (7)</t>
  </si>
  <si>
    <t>Wayne Haas (7)</t>
  </si>
  <si>
    <t>Ken Stewart (4)</t>
  </si>
  <si>
    <t>Mark Williams (5.2)</t>
  </si>
  <si>
    <t>Ken Stewart (2)</t>
  </si>
  <si>
    <t>Dan Brink (4)</t>
  </si>
  <si>
    <t>Dusty Lansberry (8)</t>
  </si>
  <si>
    <t>John Vigne (7.1)</t>
  </si>
  <si>
    <t>Ken Stewart (7)</t>
  </si>
  <si>
    <t>George Winters (7)</t>
  </si>
  <si>
    <t>Central</t>
  </si>
  <si>
    <t>Corey Bookhamer (7)</t>
  </si>
  <si>
    <t>Parker Herrington (3.1)</t>
  </si>
  <si>
    <t>Patrick Smith (5)</t>
  </si>
  <si>
    <t>Shane McGregor (5)</t>
  </si>
  <si>
    <t>Jared Braid (3)</t>
  </si>
  <si>
    <t>Dusty Lansberry (7)</t>
  </si>
  <si>
    <t>Ken Drake (7)</t>
  </si>
  <si>
    <t>Ken Stewart (5)</t>
  </si>
  <si>
    <t>Rick Pasqueriello (6)</t>
  </si>
  <si>
    <t>Gary Folmar (7)</t>
  </si>
  <si>
    <t>Steve Harper (1.2)</t>
  </si>
  <si>
    <t>Dan Brink (3)</t>
  </si>
  <si>
    <t>Gary Folmay (7)</t>
  </si>
  <si>
    <t>Dusty Lansberry (3.2)</t>
  </si>
  <si>
    <t>Denny Webster (.2)</t>
  </si>
  <si>
    <t>George Winters (6)</t>
  </si>
  <si>
    <t>Bill Gill (6)</t>
  </si>
  <si>
    <t>Rick Pasqueriello (7)</t>
  </si>
  <si>
    <t>Dusty Lansberry (6)</t>
  </si>
  <si>
    <t>John Vigne (7)</t>
  </si>
  <si>
    <t>Joe Hudak (7)</t>
  </si>
  <si>
    <t>Ed McNeal (1.2)</t>
  </si>
  <si>
    <t>Ken Stewart (6.1)</t>
  </si>
  <si>
    <t>Jim Hooper (7)</t>
  </si>
  <si>
    <t>Steve Harper (3)</t>
  </si>
  <si>
    <t>Bill Bridge (7)</t>
  </si>
  <si>
    <t>Tom Burger (7)</t>
  </si>
  <si>
    <t>Steve Harper (7)</t>
  </si>
  <si>
    <t>Joe Pillot (2.1)</t>
  </si>
  <si>
    <t>Ken Stewart (8)</t>
  </si>
  <si>
    <t>Chuck Abbott (3.2)</t>
  </si>
  <si>
    <t>Jay Young (6)</t>
  </si>
  <si>
    <t>Butch Tate (7)</t>
  </si>
  <si>
    <t>Willie Miller (6)</t>
  </si>
  <si>
    <t>Aaron Sayers (1.1)</t>
  </si>
  <si>
    <t>Ryan LaBrozzi (4)</t>
  </si>
  <si>
    <t>Frank Stolirchick (3.2)</t>
  </si>
  <si>
    <t>Ken Stewart (6)</t>
  </si>
  <si>
    <t>Denny McClure (6)</t>
  </si>
  <si>
    <t>Doug Hazelton (6)</t>
  </si>
  <si>
    <t>Steve Rippey (7)</t>
  </si>
  <si>
    <t>Steve Harper (5)</t>
  </si>
  <si>
    <t>Greg Montressor (5)</t>
  </si>
  <si>
    <t>John Vigne (6)</t>
  </si>
  <si>
    <t>Mike Stewart (3.2)</t>
  </si>
  <si>
    <t>Gary Stine (5.1)</t>
  </si>
  <si>
    <t>Steve Harper (5.2)</t>
  </si>
  <si>
    <t>Joel Diamond (4)</t>
  </si>
  <si>
    <t>Dave Litz (2)</t>
  </si>
  <si>
    <t>Ed Langhi (7)</t>
  </si>
  <si>
    <t>Rob Frisco (3)</t>
  </si>
  <si>
    <t>Don Bierly (6)</t>
  </si>
  <si>
    <t>Dave Litz (7)</t>
  </si>
  <si>
    <t>Rob Frisco (5.1)</t>
  </si>
  <si>
    <t>Ray McClure (7)</t>
  </si>
  <si>
    <t>Mike Stewart (3)</t>
  </si>
  <si>
    <t>Joe Hallahan (7)</t>
  </si>
  <si>
    <t>Dave Litz (6)</t>
  </si>
  <si>
    <t>Chuck Abbott (7)</t>
  </si>
  <si>
    <t>Dave Litz (1)</t>
  </si>
  <si>
    <t>Dale Spangler (9)</t>
  </si>
  <si>
    <t>Rob Frisco (7)</t>
  </si>
  <si>
    <t>Gary Stine (6)</t>
  </si>
  <si>
    <t>Dave Litz (6.2)</t>
  </si>
  <si>
    <t>Ken Hallahan (7)</t>
  </si>
  <si>
    <t>Mike Stewart (2.2)</t>
  </si>
  <si>
    <t>Rob Frisco (1.2)</t>
  </si>
  <si>
    <t>Barry Covey (7)</t>
  </si>
  <si>
    <t>Rob Frisco (0)</t>
  </si>
  <si>
    <t>Tom Huff (7)</t>
  </si>
  <si>
    <t>Mike Stewart (1)</t>
  </si>
  <si>
    <t>Bob Larkin (7)</t>
  </si>
  <si>
    <t>John Kaluzny (5.1)</t>
  </si>
  <si>
    <t>Rick Swanger (6)</t>
  </si>
  <si>
    <t>Bob Larkin (2)</t>
  </si>
  <si>
    <t>Doug Sopic (7)</t>
  </si>
  <si>
    <t>Don Bierly (7)</t>
  </si>
  <si>
    <t>Terry Gabrielson (7)</t>
  </si>
  <si>
    <t>Ron Thompson (6)</t>
  </si>
  <si>
    <t>Harry McMurtrie (4.2)</t>
  </si>
  <si>
    <t>Al Dreibelbis (7)</t>
  </si>
  <si>
    <t>Paul Gardner (7)</t>
  </si>
  <si>
    <t>Perry Lucas (1.2)</t>
  </si>
  <si>
    <t>Terry Gabrielson (.1)</t>
  </si>
  <si>
    <t>John Young (6)</t>
  </si>
  <si>
    <t>Dave Litz (4)</t>
  </si>
  <si>
    <t>Bill Benner (6)</t>
  </si>
  <si>
    <t>Bob Larkin (4)</t>
  </si>
  <si>
    <t>Mike Stewart (7)</t>
  </si>
  <si>
    <t>Dan Chertle (3.2)</t>
  </si>
  <si>
    <t>Dave Litz (1.2)</t>
  </si>
  <si>
    <t>Gary Drapcho (2.1)</t>
  </si>
  <si>
    <t>Bob McCullough (2.1)</t>
  </si>
  <si>
    <t>Mike Fuller (7)</t>
  </si>
  <si>
    <t>Mike Stewart (2)</t>
  </si>
  <si>
    <t>John Young (7)</t>
  </si>
  <si>
    <t>SID LANSBERRY</t>
  </si>
  <si>
    <t>Mike Stewart (5)</t>
  </si>
  <si>
    <t>Rick Swager (7)</t>
  </si>
  <si>
    <t>Terry Gabrielson (6)</t>
  </si>
  <si>
    <t>Bill Benner (7)</t>
  </si>
  <si>
    <t>Mike Stewart (6)</t>
  </si>
  <si>
    <t>Mike Day (.2)</t>
  </si>
  <si>
    <t>Terry Gabrielson (2.2)</t>
  </si>
  <si>
    <t>Rick Smalley (7)</t>
  </si>
  <si>
    <t>Terry Gabrielson (5)</t>
  </si>
  <si>
    <t>Mike Confer (4.1)</t>
  </si>
  <si>
    <t>Bill Duttry (6)</t>
  </si>
  <si>
    <t>Mike Stevens (7)</t>
  </si>
  <si>
    <t>Gary Sorg (7)</t>
  </si>
  <si>
    <t>Bill Duttry (12)</t>
  </si>
  <si>
    <t>Dave Gibbs (12)</t>
  </si>
  <si>
    <t>Terry Gabrielson (6.2)</t>
  </si>
  <si>
    <t>Joe Eckert (6)</t>
  </si>
  <si>
    <t>Bill Duttry (4.2)</t>
  </si>
  <si>
    <t>Greg Hunter (3.1)</t>
  </si>
  <si>
    <t>John Kaluzny (6)</t>
  </si>
  <si>
    <t>Mike Stewart (4)</t>
  </si>
  <si>
    <t>Jim Jones (6.1)</t>
  </si>
  <si>
    <t>Mike Stevens (6)</t>
  </si>
  <si>
    <t>Mike McNamee (7)</t>
  </si>
  <si>
    <t>Phil Blazosky (6)</t>
  </si>
  <si>
    <t>Mike McNamee (2)</t>
  </si>
  <si>
    <t>Darrel Shade (8)</t>
  </si>
  <si>
    <t>Ron Mathews (1.2)</t>
  </si>
  <si>
    <t>WON CENTRAL PENN LEAGUE</t>
  </si>
  <si>
    <t>Jeff Martell (7)</t>
  </si>
  <si>
    <t>Joe Eckert (0)</t>
  </si>
  <si>
    <t>Todd Kresge (6)</t>
  </si>
  <si>
    <t>Jeff Martell (1.1)</t>
  </si>
  <si>
    <t>Steve Harter (3.2)</t>
  </si>
  <si>
    <t>Ron Mathews (5.2)</t>
  </si>
  <si>
    <t>Bill Richardson (5)</t>
  </si>
  <si>
    <t>John Maggs (4)</t>
  </si>
  <si>
    <t>Don Robb (10)</t>
  </si>
  <si>
    <t>Tom Dann (1.1)</t>
  </si>
  <si>
    <t>Mike McNamee (4.2)</t>
  </si>
  <si>
    <t>Joe Eckert (7)</t>
  </si>
  <si>
    <t>Mike McNamee (6)</t>
  </si>
  <si>
    <t>Randy Haagen (7)</t>
  </si>
  <si>
    <t>Jeff Martell (7.1)</t>
  </si>
  <si>
    <t>Mike Stevens (1.1)</t>
  </si>
  <si>
    <t>Don Robb (7)</t>
  </si>
  <si>
    <t>Terry McCloskey (6)</t>
  </si>
  <si>
    <t>Mike McNamee (8)</t>
  </si>
  <si>
    <t>Dave Gibbs (8)</t>
  </si>
  <si>
    <t>Jeff Martell (6)</t>
  </si>
  <si>
    <t>Sam Campbell (4)</t>
  </si>
  <si>
    <t>Don Robb (9)</t>
  </si>
  <si>
    <t>Jon Meyers (6)</t>
  </si>
  <si>
    <t>Greg Hunter (3.2)</t>
  </si>
  <si>
    <t>Randy Haagen (6)</t>
  </si>
  <si>
    <t>Mike McNamee (11)</t>
  </si>
  <si>
    <t>Tom Dann (11)</t>
  </si>
  <si>
    <t>Don Holderman (4.1)</t>
  </si>
  <si>
    <t>John Holjencin (5)</t>
  </si>
  <si>
    <t>Jeff Martell (8.1)</t>
  </si>
  <si>
    <t>Jeff Neff (9)</t>
  </si>
  <si>
    <t>WON DISTRICT 9</t>
  </si>
  <si>
    <t>Doug Wagner (7)</t>
  </si>
  <si>
    <t>Jeff Martell (8)</t>
  </si>
  <si>
    <t>Sam Campbell (7)</t>
  </si>
  <si>
    <t>Al Pifer (2)</t>
  </si>
  <si>
    <t>Scott Day (7)</t>
  </si>
  <si>
    <t>Criag Gardner (7)</t>
  </si>
  <si>
    <t>Todd Schickling (.1)</t>
  </si>
  <si>
    <t>Criag Gardner (6)</t>
  </si>
  <si>
    <t>Mike Davidson (2.1)</t>
  </si>
  <si>
    <t>Criag Gardner (2)</t>
  </si>
  <si>
    <t>Kyle Means (5)</t>
  </si>
  <si>
    <t>Black (6)</t>
  </si>
  <si>
    <t>Dan Yoder (7)</t>
  </si>
  <si>
    <t>Andy Reichard (7)</t>
  </si>
  <si>
    <t>Swancer (5)</t>
  </si>
  <si>
    <t>Travis McDonald (3.2)</t>
  </si>
  <si>
    <t>Dusty Minarchick (4)</t>
  </si>
  <si>
    <t>Houghton (6.1)</t>
  </si>
  <si>
    <t>Alex Gett (7)</t>
  </si>
  <si>
    <t>Jeff Martell (2)</t>
  </si>
  <si>
    <t>Denny Carpin (4)</t>
  </si>
  <si>
    <t>Tom Dann (7)</t>
  </si>
  <si>
    <t>Don Robb (6)</t>
  </si>
  <si>
    <t>Mark Kresovich (6)</t>
  </si>
  <si>
    <t>Jeff Martell (3.1)</t>
  </si>
  <si>
    <t>Doug Bates (7)</t>
  </si>
  <si>
    <t>Denny Carpin (1.1)</t>
  </si>
  <si>
    <t>Tom Thompson (6)</t>
  </si>
  <si>
    <t>Jeff Neff (7)</t>
  </si>
  <si>
    <t>Jeff Covert (7)</t>
  </si>
  <si>
    <t>John Bird (6)</t>
  </si>
  <si>
    <t>Mike McNamee (5)</t>
  </si>
  <si>
    <t>John Maggs (1.1)</t>
  </si>
  <si>
    <t>Don Robb (5)</t>
  </si>
  <si>
    <t>Charlie Lombardo (2.1)</t>
  </si>
  <si>
    <t>Pat Cunningham (6)</t>
  </si>
  <si>
    <t>Bill Clemento (3.1)</t>
  </si>
  <si>
    <t>Jeff Martell (5)</t>
  </si>
  <si>
    <t>Tom Mitakavich (1.1)</t>
  </si>
  <si>
    <t>Mark Neal (2.1)</t>
  </si>
  <si>
    <t>Tom Thompson (2.1)</t>
  </si>
  <si>
    <t>Joe Wozneak (7)</t>
  </si>
  <si>
    <t>Bertie NC</t>
  </si>
  <si>
    <t>Gary Bowman (6)</t>
  </si>
  <si>
    <t>Williamston NC</t>
  </si>
  <si>
    <t>Jamesville NC</t>
  </si>
  <si>
    <t>Dean Lansberry (7)</t>
  </si>
  <si>
    <t>Ed Lilley (7)</t>
  </si>
  <si>
    <t>WON DISTIRCT 9</t>
  </si>
  <si>
    <t>Brian Bickel (2.1)</t>
  </si>
  <si>
    <t>Plymouth NC</t>
  </si>
  <si>
    <t>Merrill Lonjin (2.2)</t>
  </si>
  <si>
    <t>Shelton McNair (7)</t>
  </si>
  <si>
    <t>Ron Petrocchi (6)</t>
  </si>
  <si>
    <t>Dean Lansberry (5)</t>
  </si>
  <si>
    <t>Gary Bowman (7)</t>
  </si>
  <si>
    <t>Randy McMullen (4.1)</t>
  </si>
  <si>
    <t>Mark Neal (7)</t>
  </si>
  <si>
    <t>Jeff Martell (4.1)</t>
  </si>
  <si>
    <t>Mark Kresovich (1)</t>
  </si>
  <si>
    <t>Pat Guerriero (7)</t>
  </si>
  <si>
    <t>Jeff Martell (4)</t>
  </si>
  <si>
    <t>Gary Bowman (1.1)</t>
  </si>
  <si>
    <t>Phil Blazosky (7)</t>
  </si>
  <si>
    <t>Todd Hanley (1)</t>
  </si>
  <si>
    <t>Kyle Timchak (3)</t>
  </si>
  <si>
    <t>Bryan Frailey (3.2)</t>
  </si>
  <si>
    <t>Corey Bookhammer (6)</t>
  </si>
  <si>
    <t>Pat O'Hara (5.1)</t>
  </si>
  <si>
    <t>Chris Burger (3)</t>
  </si>
  <si>
    <t>Jeff Martell (2.1)</t>
  </si>
  <si>
    <t>Greg Butts (3)</t>
  </si>
  <si>
    <t>Jeff Martell (3.2)</t>
  </si>
  <si>
    <t>Mark Kresovich (7)</t>
  </si>
  <si>
    <t>Jeff Martell (3)</t>
  </si>
  <si>
    <t>Brian Bickel (6)</t>
  </si>
  <si>
    <t>Rob Aurand (6)</t>
  </si>
  <si>
    <t>Ken Streich (1)</t>
  </si>
  <si>
    <t>Denny Johns (7)</t>
  </si>
  <si>
    <t>Mark Neal (1.2)</t>
  </si>
  <si>
    <t>Brian Kostishion (7)</t>
  </si>
  <si>
    <t>Dean Lansberry (2.2)</t>
  </si>
  <si>
    <t>Bob Law (7)</t>
  </si>
  <si>
    <t>George Kriziner (4)</t>
  </si>
  <si>
    <t>Jefferson Forest VA</t>
  </si>
  <si>
    <t>J Spinner (7)</t>
  </si>
  <si>
    <t>EC Glass VA</t>
  </si>
  <si>
    <t>Dave Pennington (2)</t>
  </si>
  <si>
    <t>Brian Bickel (5.2)</t>
  </si>
  <si>
    <t>Todd Hanley (6)</t>
  </si>
  <si>
    <t>Jeff Martell (.1)</t>
  </si>
  <si>
    <t>Gary Lamey (6.1)</t>
  </si>
  <si>
    <t>Brian Bickel (7)</t>
  </si>
  <si>
    <t>Jeff Lambert (2)</t>
  </si>
  <si>
    <t>Denny Carpin (3.2)</t>
  </si>
  <si>
    <t>Dave Pennington (3.2)</t>
  </si>
  <si>
    <t>Ernie Kelly (7)</t>
  </si>
  <si>
    <t>Chris Burger (7)</t>
  </si>
  <si>
    <t>Jim Maggs (1)</t>
  </si>
  <si>
    <t>Dean Lansberry (.2)</t>
  </si>
  <si>
    <t>Doug Wagner (3.2)</t>
  </si>
  <si>
    <t>Melvin Dinsmore (5)</t>
  </si>
  <si>
    <t>Brian Bickel (4)</t>
  </si>
  <si>
    <t>Frank Beimel (2)</t>
  </si>
  <si>
    <t>John McMullen (7)</t>
  </si>
  <si>
    <t>Brian Bickel (4.2)</t>
  </si>
  <si>
    <t>Steve Harzinski (2.2)</t>
  </si>
  <si>
    <t>Dean Lansberry (6)</t>
  </si>
  <si>
    <t>Todd Hanley (4)</t>
  </si>
  <si>
    <t>Chris Burger (1.1)</t>
  </si>
  <si>
    <t>Brian Bickel (5)</t>
  </si>
  <si>
    <t>Scott Bosak (2.1)</t>
  </si>
  <si>
    <t>Sam Levy (7)</t>
  </si>
  <si>
    <t>Bill Doran (7)</t>
  </si>
  <si>
    <t>Jim Maggs (5)</t>
  </si>
  <si>
    <t>Kirk High (7)</t>
  </si>
  <si>
    <t>Jeff Neff (5)</t>
  </si>
  <si>
    <t>JJ Bilodeau (5)</t>
  </si>
  <si>
    <t>Jeff Martell (7.2)</t>
  </si>
  <si>
    <t>Doug Wagner (8)</t>
  </si>
  <si>
    <t>Jeff Martell (9)</t>
  </si>
  <si>
    <t>Gary Lamey (8)</t>
  </si>
  <si>
    <t>Brian Bickel (2.2)</t>
  </si>
  <si>
    <t>Mark Heisel (6)</t>
  </si>
  <si>
    <t>Brian Bickel (5.1)</t>
  </si>
  <si>
    <t>Brian Kostishion (6)</t>
  </si>
  <si>
    <t>Mick Shade (6)</t>
  </si>
  <si>
    <t>Dean Lansberry (3)</t>
  </si>
  <si>
    <t>Mike Oxford (7)</t>
  </si>
  <si>
    <t>Person NC</t>
  </si>
  <si>
    <t>Randy Ardery (6.1)</t>
  </si>
  <si>
    <t>Don Wade (7)</t>
  </si>
  <si>
    <t>Western Harnet NC</t>
  </si>
  <si>
    <t>Bob Marsh (8)</t>
  </si>
  <si>
    <t>Justin Koleno (5.2)</t>
  </si>
  <si>
    <t>Tom Buie (9)</t>
  </si>
  <si>
    <t>Pat Gearhart (3)</t>
  </si>
  <si>
    <t>Chapel Hill NC</t>
  </si>
  <si>
    <t>Randy Ardery (1.2)</t>
  </si>
  <si>
    <t>Northern NC</t>
  </si>
  <si>
    <t>Mark Sunderland (.1)</t>
  </si>
  <si>
    <t>Hillside NC</t>
  </si>
  <si>
    <t>Randy Ardery (6)</t>
  </si>
  <si>
    <t>Durham NC</t>
  </si>
  <si>
    <t>Bob Marsh (4)</t>
  </si>
  <si>
    <t>Ray Chadwick (6)</t>
  </si>
  <si>
    <t>Randy Ardery (4)</t>
  </si>
  <si>
    <t>Dick Tressler (3)</t>
  </si>
  <si>
    <t>Bob Marsh (2.1)</t>
  </si>
  <si>
    <t>Scott Bosak (7)</t>
  </si>
  <si>
    <t>Dana Paulson (2.2)</t>
  </si>
  <si>
    <t>Dave Pennington (7)</t>
  </si>
  <si>
    <t>Jeff Azzato (6)</t>
  </si>
  <si>
    <t>Randy Ardery (7)</t>
  </si>
  <si>
    <t>Rick Ryver (6)</t>
  </si>
  <si>
    <t>Kirk High (5)</t>
  </si>
  <si>
    <t>Don Miller (4.1)</t>
  </si>
  <si>
    <t>Jason Knarr (5)</t>
  </si>
  <si>
    <t>Scott Hanes (2.1)</t>
  </si>
  <si>
    <t>Jim Teeter (3.1)</t>
  </si>
  <si>
    <t>Scott Hanes (8)</t>
  </si>
  <si>
    <t>Scott Hanes (3.2)</t>
  </si>
  <si>
    <t>Dennis Yohe (2)</t>
  </si>
  <si>
    <t>Travis Schneck (3.1)</t>
  </si>
  <si>
    <t>Jim Teeter (7)</t>
  </si>
  <si>
    <t>Mike Gormont (3.1)</t>
  </si>
  <si>
    <t>Jim Teeter (2.2)</t>
  </si>
  <si>
    <t>Mike Gormont (1)</t>
  </si>
  <si>
    <t>Scott Hanes (2)</t>
  </si>
  <si>
    <t>Craig Petulla (7)</t>
  </si>
  <si>
    <t>Eric Stover (6)</t>
  </si>
  <si>
    <t>Charlie Vervnesi (4)</t>
  </si>
  <si>
    <t>Justine Yoder (8)</t>
  </si>
  <si>
    <t>Bill Bodtorf (5.1)</t>
  </si>
  <si>
    <t>Toby Bucha (6)</t>
  </si>
  <si>
    <t>Mike McClosky (6)</t>
  </si>
  <si>
    <t>Dan McCall (4.2)</t>
  </si>
  <si>
    <t>Brian Randolph (6.1)</t>
  </si>
  <si>
    <t>Jason Evans (6)</t>
  </si>
  <si>
    <t>David Urbanick (7)</t>
  </si>
  <si>
    <t>Brad Kocher (5)</t>
  </si>
  <si>
    <t>Scott Schell (6)</t>
  </si>
  <si>
    <t>Brad Tomco (3)</t>
  </si>
  <si>
    <t>Stan Smochek (6)</t>
  </si>
  <si>
    <t>Craig Petulla (5)</t>
  </si>
  <si>
    <t>Mark Nelson (7)</t>
  </si>
  <si>
    <t>Chad Bilger (2)</t>
  </si>
  <si>
    <t>Gregg Farmery (7)</t>
  </si>
  <si>
    <t>Lee Stott (5)</t>
  </si>
  <si>
    <t>Kirk High (3.1)</t>
  </si>
  <si>
    <t>Jim Lance (5)</t>
  </si>
  <si>
    <t>Dave Pennington (6.2)</t>
  </si>
  <si>
    <t>Bob Zonts (7)</t>
  </si>
  <si>
    <t>Randy Ardery (5)</t>
  </si>
  <si>
    <t>Sam Levy (0)</t>
  </si>
  <si>
    <t>Dave Pennington (4)</t>
  </si>
  <si>
    <t>Steve Kunes (3)</t>
  </si>
  <si>
    <t>Wes Gates (3)</t>
  </si>
  <si>
    <t>Bob Marsh (1.2)</t>
  </si>
  <si>
    <t>Ben Levy (7)</t>
  </si>
  <si>
    <t>Denny Carpin (7)</t>
  </si>
  <si>
    <t>Kirk High (6.2)</t>
  </si>
  <si>
    <t>Stan Gralack (7)</t>
  </si>
  <si>
    <t>Jim Maggs (6)</t>
  </si>
  <si>
    <t>Randy Ardery (4.2)</t>
  </si>
  <si>
    <t>Doug Fasick (5)</t>
  </si>
  <si>
    <t>Ben Levy (1.1)</t>
  </si>
  <si>
    <t>Gino Ceriani (7)</t>
  </si>
  <si>
    <t>Lou Labori (7)</t>
  </si>
  <si>
    <t>Tabb VA</t>
  </si>
  <si>
    <t>Randy Learish (6)</t>
  </si>
  <si>
    <t>Terry McCartney (7)</t>
  </si>
  <si>
    <t>Poquoson VA</t>
  </si>
  <si>
    <t>St Christophers VA</t>
  </si>
  <si>
    <t>Bob Marsh (6)</t>
  </si>
  <si>
    <t>D Patrick (3.2)</t>
  </si>
  <si>
    <t>Mark Sunderland (4)</t>
  </si>
  <si>
    <t>Bob Marsh (7)</t>
  </si>
  <si>
    <t>Dave Harris (6)</t>
  </si>
  <si>
    <t>Dave Behler (3)</t>
  </si>
  <si>
    <t>Randy Learish (3)</t>
  </si>
  <si>
    <t>Charlie Lynn (2)</t>
  </si>
  <si>
    <t>Jim Naginey (6.1)</t>
  </si>
  <si>
    <t>Bill Weaver (2.1)</t>
  </si>
  <si>
    <t>Bob Marsh (1.1)</t>
  </si>
  <si>
    <t>Rich Hartman (2)</t>
  </si>
  <si>
    <t>Mark Sunderland (6)</t>
  </si>
  <si>
    <t>Scott Singleton (1.1)</t>
  </si>
  <si>
    <t>Bob Marsh (4.1)</t>
  </si>
  <si>
    <t>Jon Bowersox (7)</t>
  </si>
  <si>
    <t>Sam Jones (5)</t>
  </si>
  <si>
    <t>Randy Learish (5)</t>
  </si>
  <si>
    <t>Blaine Deadenderfer (1.2)</t>
  </si>
  <si>
    <t>Randy Ardery (2.2)</t>
  </si>
  <si>
    <t>Sam Maney (5)</t>
  </si>
  <si>
    <t>Dave Schall (3.2)</t>
  </si>
  <si>
    <t>Randy Learish (7)</t>
  </si>
  <si>
    <t>Steve Kunes (6)</t>
  </si>
  <si>
    <t>Randy Ardery (3.2)</t>
  </si>
  <si>
    <t>Bill Doran (4.2)</t>
  </si>
  <si>
    <t>Todd Ulmanic (7)</t>
  </si>
  <si>
    <t>Scott Day (1.2)</t>
  </si>
  <si>
    <t>Jon Bowersox (1.1)</t>
  </si>
  <si>
    <t>Randy Learish (6.2)</t>
  </si>
  <si>
    <t>Steve Kunes (7)</t>
  </si>
  <si>
    <t>Bill Weaver (7)</t>
  </si>
  <si>
    <t>Rich Hartman (.1)</t>
  </si>
  <si>
    <t>Sam Jones (3)</t>
  </si>
  <si>
    <t>Dave Schall (5.1)</t>
  </si>
  <si>
    <t>Bill Doran (8)</t>
  </si>
  <si>
    <t>Stan Gralak (7)</t>
  </si>
  <si>
    <t>Scott Day (3.2)</t>
  </si>
  <si>
    <t>Beltingfield NC</t>
  </si>
  <si>
    <t>Mark Sunderland (7)</t>
  </si>
  <si>
    <t>Princeton NC</t>
  </si>
  <si>
    <t>Bob Sunderland (5)</t>
  </si>
  <si>
    <t>Bill Moore (3)</t>
  </si>
  <si>
    <t>SW Edgecomb NC</t>
  </si>
  <si>
    <t>Don Shimmel (5)</t>
  </si>
  <si>
    <t>Ron Mills (5)</t>
  </si>
  <si>
    <t>Taroboro NC</t>
  </si>
  <si>
    <t>Todd Vanderburg (6)</t>
  </si>
  <si>
    <t>Dave Steele (3.2)</t>
  </si>
  <si>
    <t>Dean Spingola (5)</t>
  </si>
  <si>
    <t>Dennis Drake (7)</t>
  </si>
  <si>
    <t>Nick Richetti (2)</t>
  </si>
  <si>
    <t>Mark Sunderland (5)</t>
  </si>
  <si>
    <t>Duane Bierly (5)</t>
  </si>
  <si>
    <t>Casey Watson (4)</t>
  </si>
  <si>
    <t>Doug Kabel (6)</t>
  </si>
  <si>
    <t>Jim Mease (1.1)</t>
  </si>
  <si>
    <t>Mark Sunderland (5.2)</t>
  </si>
  <si>
    <t>Dave Rokey (6)</t>
  </si>
  <si>
    <t>Robbie Woodring (3)</t>
  </si>
  <si>
    <t>Dave Behler (6.1)</t>
  </si>
  <si>
    <t>Dean Spingola (7)</t>
  </si>
  <si>
    <t>Steve Yetzer (7)</t>
  </si>
  <si>
    <t>Andy Smithmyer (2.1)</t>
  </si>
  <si>
    <t>Nate Sabados (2)</t>
  </si>
  <si>
    <t>Justin Hoffman (3)</t>
  </si>
  <si>
    <t>Ron Hahn (3)</t>
  </si>
  <si>
    <t>Dean Spingola (3)</t>
  </si>
  <si>
    <t>Mike Ickes (7)</t>
  </si>
  <si>
    <t>Bob Reynolds (3)</t>
  </si>
  <si>
    <t>Jon Bowersox (3)</t>
  </si>
  <si>
    <t>Trevor Henry (4)</t>
  </si>
  <si>
    <t>Bob Rice (1.2)</t>
  </si>
  <si>
    <t>Bryan Carfley (6.1)</t>
  </si>
  <si>
    <t>Bill Weaver (3)</t>
  </si>
  <si>
    <t>Bob McClure (5)</t>
  </si>
  <si>
    <t>Bill Weaver (6)</t>
  </si>
  <si>
    <t>Bob McClure (7)</t>
  </si>
  <si>
    <t>Don Shimmel (2)</t>
  </si>
  <si>
    <t>Tony Neville (7)</t>
  </si>
  <si>
    <t>Western Alamance NC</t>
  </si>
  <si>
    <t>Randy Learish (2)</t>
  </si>
  <si>
    <t>Todd Vanderburgh (7)</t>
  </si>
  <si>
    <t>Keith Montgomery (7)</t>
  </si>
  <si>
    <t>Jeff Johnson (6)</t>
  </si>
  <si>
    <t>Doug Kabel (7)</t>
  </si>
  <si>
    <t>Trevor Henry (3.1)</t>
  </si>
  <si>
    <t>Duane Bierly (3.1)</t>
  </si>
  <si>
    <t>Bob Covatch (6)</t>
  </si>
  <si>
    <t>Doug Kephart (2.1)</t>
  </si>
  <si>
    <t>Paul Jamieson (2.2)</t>
  </si>
  <si>
    <t>Norm Heane (4)</t>
  </si>
  <si>
    <t>Allen Bowersox (3.1)</t>
  </si>
  <si>
    <t>Todd Vanderburgh (5)</t>
  </si>
  <si>
    <t>Bill Smith (4)</t>
  </si>
  <si>
    <t>Doug Kephart (4)</t>
  </si>
  <si>
    <t>Steve Yentzer (7)</t>
  </si>
  <si>
    <t>Jim Mease (7)</t>
  </si>
  <si>
    <t>Robbie Woodring (2.1)</t>
  </si>
  <si>
    <t>Randy Learish (4)</t>
  </si>
  <si>
    <t>Kevin Carpin (1.1)</t>
  </si>
  <si>
    <t>Rob Doman (2)</t>
  </si>
  <si>
    <t>Ryan Delucia (1.1)</t>
  </si>
  <si>
    <t>Ryan Delucia (3)</t>
  </si>
  <si>
    <t>Zane (6)</t>
  </si>
  <si>
    <t>Josh Ebersole (7)</t>
  </si>
  <si>
    <t>Justin Schoening (6)</t>
  </si>
  <si>
    <t>Gabe Newman (5)</t>
  </si>
  <si>
    <t>Stucke (2)</t>
  </si>
  <si>
    <t>Donnie Newbold (1)</t>
  </si>
  <si>
    <t>Roan (.2)</t>
  </si>
  <si>
    <t>Joe Reedrnson (2)</t>
  </si>
  <si>
    <t>Dean Spingola (6)</t>
  </si>
  <si>
    <t>Ron Crayoski (7)</t>
  </si>
  <si>
    <t>Ron Amoriello (7)</t>
  </si>
  <si>
    <t>Randy Learish (6.1)</t>
  </si>
  <si>
    <t>Keith Ripka (1.1)</t>
  </si>
  <si>
    <t>Norm Heane (3)</t>
  </si>
  <si>
    <t>Paul Jamieson (4)</t>
  </si>
  <si>
    <t>Doug Kephart (3.2)</t>
  </si>
  <si>
    <t>Bob Covatch (2.1)</t>
  </si>
  <si>
    <t>Matt Roberts (4.2)</t>
  </si>
  <si>
    <t>Bob Covatch (7)</t>
  </si>
  <si>
    <t>Chad MacNamara (5.2)</t>
  </si>
  <si>
    <t>Denny Lingefelter (6)</t>
  </si>
  <si>
    <t>Wake Academy NC</t>
  </si>
  <si>
    <t>Don Shimmel (7)</t>
  </si>
  <si>
    <t>Garden City NY</t>
  </si>
  <si>
    <t>Bob Trinkle (3.2)</t>
  </si>
  <si>
    <t>Matt Thomas (7)</t>
  </si>
  <si>
    <t>Athens Drive NC</t>
  </si>
  <si>
    <t>Dave Dunlap (6)</t>
  </si>
  <si>
    <t>Tom Wenzel (7)</t>
  </si>
  <si>
    <t>Ray Rougeux (7)</t>
  </si>
  <si>
    <t>Rich Singer (7)</t>
  </si>
  <si>
    <t>Jeff Johnson (4.2)</t>
  </si>
  <si>
    <t>Dean Spingola (4.2)</t>
  </si>
  <si>
    <t>Steve Yentzer (2)</t>
  </si>
  <si>
    <t>Todd Vanderburgh (6)</t>
  </si>
  <si>
    <t>Kevin Czajkowski (2.2)</t>
  </si>
  <si>
    <t>Dave Dunlap (7)</t>
  </si>
  <si>
    <t>Jeff Hoover (3.1)</t>
  </si>
  <si>
    <t>Chris Lutz (1)</t>
  </si>
  <si>
    <t>Brad Sperling (.1)</t>
  </si>
  <si>
    <t>Doug Britten (2)</t>
  </si>
  <si>
    <t>Rich Singer (3.1)</t>
  </si>
  <si>
    <t>Tussey Mountain</t>
  </si>
  <si>
    <t>Dave Dunlap (5)</t>
  </si>
  <si>
    <t>Ray Rougeux (4)</t>
  </si>
  <si>
    <t>Tim Crater (4.1)</t>
  </si>
  <si>
    <t>Dave Dunlap (2.1)</t>
  </si>
  <si>
    <t>Jeff Johnson (6.1)</t>
  </si>
  <si>
    <t>Don Shimmel (5.2)</t>
  </si>
  <si>
    <t>Stan Belinda (5)</t>
  </si>
  <si>
    <t>Dave Klinefelter (1.1)</t>
  </si>
  <si>
    <t>Aaron Sayers (3)</t>
  </si>
  <si>
    <t>Jacob Stumpf (3)</t>
  </si>
  <si>
    <t>Trevor Flanagan (5)</t>
  </si>
  <si>
    <t>Steve Groll (2)</t>
  </si>
  <si>
    <t>Todd Vanderburgh (5.2)</t>
  </si>
  <si>
    <t>Tom Zimmerman (6.1)</t>
  </si>
  <si>
    <t>Dave Dunlap (3.2)</t>
  </si>
  <si>
    <t>Brian Grenoble (6)</t>
  </si>
  <si>
    <t>Ray Rougeux (2.2)</t>
  </si>
  <si>
    <t>Tom Gravish (7)</t>
  </si>
  <si>
    <t>Bryan Garman (5)</t>
  </si>
  <si>
    <t>Dusty Swatsworth (2.2)</t>
  </si>
  <si>
    <t>Rod Rishel (2)</t>
  </si>
  <si>
    <t>Neil Gearhart (1)</t>
  </si>
  <si>
    <t>Bryan Garman (1.1)</t>
  </si>
  <si>
    <t>Jeff Johnson (5.1)</t>
  </si>
  <si>
    <t>Dave Dunlap (2)</t>
  </si>
  <si>
    <t>Mark Sherburn (7)</t>
  </si>
  <si>
    <t>Ray Rougeux (5)</t>
  </si>
  <si>
    <t>Tim Weber (2.1)</t>
  </si>
  <si>
    <t>Corey Bookhamer (4.1)</t>
  </si>
  <si>
    <t>John Valcheff (5)</t>
  </si>
  <si>
    <t>Michael Moyer (4)</t>
  </si>
  <si>
    <t>Karter Rivera (4)</t>
  </si>
  <si>
    <t>Bill Brooks (3.1)</t>
  </si>
  <si>
    <t>Chris Lutz (2)</t>
  </si>
  <si>
    <t>Dennis Bowman (7)</t>
  </si>
  <si>
    <t>John Carey (4)</t>
  </si>
  <si>
    <t>Chris Miller (4.1)</t>
  </si>
  <si>
    <t>Shane Groll (3)</t>
  </si>
  <si>
    <t>Ray Rougeux (1)</t>
  </si>
  <si>
    <t>Brian Ishler (3.2)</t>
  </si>
  <si>
    <t>Doug Womer (7)</t>
  </si>
  <si>
    <t>Fred Larson (7)</t>
  </si>
  <si>
    <t>Jeff Johnson (6.2)</t>
  </si>
  <si>
    <t>Dennis Bowman (4)</t>
  </si>
  <si>
    <t>Ron Crayoski (4.1)</t>
  </si>
  <si>
    <t>Doug Spingola (1.1)</t>
  </si>
  <si>
    <t>Scott Hussey (2.1)</t>
  </si>
  <si>
    <t>Nick Cherry (7)</t>
  </si>
  <si>
    <t>Mike Pearce (7)</t>
  </si>
  <si>
    <t>Dennis Bowman (5)</t>
  </si>
  <si>
    <t>Rich Auman (3.1)</t>
  </si>
  <si>
    <t>Hermitage VA</t>
  </si>
  <si>
    <t>Dennis Bowman (6)</t>
  </si>
  <si>
    <t>Anthony Goode (3)</t>
  </si>
  <si>
    <t>St Vincents VA</t>
  </si>
  <si>
    <t>Rod Rishel (7)</t>
  </si>
  <si>
    <t>Greg Russell (.2)</t>
  </si>
  <si>
    <t>Brian Robison (0.1)</t>
  </si>
  <si>
    <t>Shane Breon (2)</t>
  </si>
  <si>
    <t>Tim Gormont (4)</t>
  </si>
  <si>
    <t>Joe Kresovich (2)</t>
  </si>
  <si>
    <t>Robert Tyger (5)</t>
  </si>
  <si>
    <t>Tim Gormont (5)</t>
  </si>
  <si>
    <t>Gary Heverly (3)</t>
  </si>
  <si>
    <t>Tim Gormont (6)</t>
  </si>
  <si>
    <t>Scott Miller (7)</t>
  </si>
  <si>
    <t>Rod Rishel (2.2)</t>
  </si>
  <si>
    <t>Neil Gearhart (6)</t>
  </si>
  <si>
    <t>Bub Maietta (4.1)</t>
  </si>
  <si>
    <t>Steve Hussey (2.1)</t>
  </si>
  <si>
    <t>Nick Cherry (3)</t>
  </si>
  <si>
    <t>Chris Myer (1.1)</t>
  </si>
  <si>
    <t>Dennis Bowman (2)</t>
  </si>
  <si>
    <t>Bub Maietta (7)</t>
  </si>
  <si>
    <t>Dennis Bowman (5.2)</t>
  </si>
  <si>
    <t>Dave Klinefelter (7)</t>
  </si>
  <si>
    <t>Tim Gormont (7)</t>
  </si>
  <si>
    <t>Don Neal (3.1)</t>
  </si>
  <si>
    <t>Tim Gormont (3.2)</t>
  </si>
  <si>
    <t>Scott Miller (5)</t>
  </si>
  <si>
    <t>Neil Gearhart (2.1)</t>
  </si>
  <si>
    <t>Mark Sherburn (6)</t>
  </si>
  <si>
    <t>Cory McElwee (7)</t>
  </si>
  <si>
    <t>Don Neal (2.1)</t>
  </si>
  <si>
    <t>Tim Gormont (5.2)</t>
  </si>
  <si>
    <t>Dennis Haag (5)</t>
  </si>
  <si>
    <t>Doug Womer (6)</t>
  </si>
  <si>
    <t>Dennis Bowman (3)</t>
  </si>
  <si>
    <t>Anthony Brown (1.2)</t>
  </si>
  <si>
    <t>Keith Flinchum (2.2)</t>
  </si>
  <si>
    <t>Russ Smith (7)</t>
  </si>
  <si>
    <t>Ravenscroft NC</t>
  </si>
  <si>
    <t>Brian Robison (7)</t>
  </si>
  <si>
    <t>Mike Davidson (6.1)</t>
  </si>
  <si>
    <t>Rob Clay (7)</t>
  </si>
  <si>
    <t>Dave Learish (7)</t>
  </si>
  <si>
    <t>Randy Johnson (4)</t>
  </si>
  <si>
    <t>Brian Robison (5)</t>
  </si>
  <si>
    <t>Scott Tobias (2)</t>
  </si>
  <si>
    <t>Chris Lockey (2.2)</t>
  </si>
  <si>
    <t>Gary Heverly (7)</t>
  </si>
  <si>
    <t>Todd McCurdy (6)</t>
  </si>
  <si>
    <t>Rod Rishel (6)</t>
  </si>
  <si>
    <t>Ken Matlin (7)</t>
  </si>
  <si>
    <t>Brian Robison (6.1)</t>
  </si>
  <si>
    <t>Mike Cerifko (7)</t>
  </si>
  <si>
    <t>Allan Stratton (5)</t>
  </si>
  <si>
    <t>Jeff Bender (5)</t>
  </si>
  <si>
    <t>Tom Bender (2.1)</t>
  </si>
  <si>
    <t>Brian Robison (7.1)</t>
  </si>
  <si>
    <t>Dave Reed (.1)</t>
  </si>
  <si>
    <t>Brian Ishler (7)</t>
  </si>
  <si>
    <t>Jeff Bender (0)</t>
  </si>
  <si>
    <t>Scott Huff (3)</t>
  </si>
  <si>
    <t>Dave Learish (4)</t>
  </si>
  <si>
    <t>Brian Grenoble (5)</t>
  </si>
  <si>
    <t>John Gaylord (2)</t>
  </si>
  <si>
    <t>Jeff Bender (6.2)</t>
  </si>
  <si>
    <t>Bob Culp (1)</t>
  </si>
  <si>
    <t>Bob Carr (2.1)</t>
  </si>
  <si>
    <t>Dave Learish (2.2)</t>
  </si>
  <si>
    <t>Chris Dixon (3.1)</t>
  </si>
  <si>
    <t>Dave Bogus (7)</t>
  </si>
  <si>
    <t>Robert Tyger (2.2)</t>
  </si>
  <si>
    <t>Bub Maietta (6.1)</t>
  </si>
  <si>
    <t>Brian Robison (5.2)</t>
  </si>
  <si>
    <t>Mike Palloto (3.2)</t>
  </si>
  <si>
    <t>Bethel Park</t>
  </si>
  <si>
    <t>Brian Robison (6)</t>
  </si>
  <si>
    <t>A J Lutz (5)</t>
  </si>
  <si>
    <t>Ferguson VA</t>
  </si>
  <si>
    <t>Dave Learish (5)</t>
  </si>
  <si>
    <t>Keith Neill (5)</t>
  </si>
  <si>
    <t>Jeff Droll (5)</t>
  </si>
  <si>
    <t>Bill Dean (4)</t>
  </si>
  <si>
    <t>Chris Kolivoski (3.1)</t>
  </si>
  <si>
    <t>Dave Bogus (.2)</t>
  </si>
  <si>
    <t>Jeff Droll (4.2)</t>
  </si>
  <si>
    <t>Randy Agosti (.2)</t>
  </si>
  <si>
    <t>Sean Learish (7)</t>
  </si>
  <si>
    <t>Corey McElwee (5.1)</t>
  </si>
  <si>
    <t>Dave Learish (2.1)</t>
  </si>
  <si>
    <t>Brock Spiglemyer (4.1)</t>
  </si>
  <si>
    <t>Jeff Burris (3.2)</t>
  </si>
  <si>
    <t>Sean Learish (3.2)</t>
  </si>
  <si>
    <t>Rich Haupt (7)</t>
  </si>
  <si>
    <t>Jeff Droll (4.1)</t>
  </si>
  <si>
    <t>Chris Kolivoski (2.1)</t>
  </si>
  <si>
    <t>Eric Stratton (6)</t>
  </si>
  <si>
    <t>Jeff Bender (.1)</t>
  </si>
  <si>
    <t>Dave Reed (7)</t>
  </si>
  <si>
    <t>Chris Kolivoski (4)</t>
  </si>
  <si>
    <t>Shawn Meyers (4.2)</t>
  </si>
  <si>
    <t>Chris Kolivoski (3)</t>
  </si>
  <si>
    <t>Doug Podger (3.2)</t>
  </si>
  <si>
    <t>Derek Reed (4)</t>
  </si>
  <si>
    <t>Jeff Droll (2.1)</t>
  </si>
  <si>
    <t>Sean Learish (3)</t>
  </si>
  <si>
    <t>Chris Kolivoski (2)</t>
  </si>
  <si>
    <t>Jeff Burris (2.1)</t>
  </si>
  <si>
    <t>Sean Learish (5)</t>
  </si>
  <si>
    <t>Troy Bauer (2.1)</t>
  </si>
  <si>
    <t>Dave Learish (11)</t>
  </si>
  <si>
    <t>Ed Seduski (5.2)</t>
  </si>
  <si>
    <t>Erie McDowell</t>
  </si>
  <si>
    <t>Jeff Bender (6)</t>
  </si>
  <si>
    <t>Brian Wojtalik (7)</t>
  </si>
  <si>
    <t>David Learish (4.1)</t>
  </si>
  <si>
    <t>Jeff Droll (10.2)</t>
  </si>
  <si>
    <t>Charlie Strauser (11)</t>
  </si>
  <si>
    <t>Mike Peterson (6)</t>
  </si>
  <si>
    <t>Doug Leitzell (6)</t>
  </si>
  <si>
    <t>Jeff Droll (7)</t>
  </si>
  <si>
    <t>Joe Wilson (.2)</t>
  </si>
  <si>
    <t>Corey McElwee (4.2)</t>
  </si>
  <si>
    <t>Mike Peterson (7)</t>
  </si>
  <si>
    <t>Jay Cormesser (4)</t>
  </si>
  <si>
    <t>Jeff Droll (4)</t>
  </si>
  <si>
    <t>Maika Symmonds (5)</t>
  </si>
  <si>
    <t>Brian Hoke (6)</t>
  </si>
  <si>
    <t>Mike Peterson (3)</t>
  </si>
  <si>
    <t>Bub Maietta (6)</t>
  </si>
  <si>
    <t>Brian Pelka (2.2)</t>
  </si>
  <si>
    <t>Mike Peterson (3.1)</t>
  </si>
  <si>
    <t>Eric Fischer (7)</t>
  </si>
  <si>
    <t>Mike Peterson (1.2)</t>
  </si>
  <si>
    <t>Greg Raybuck (4.2)</t>
  </si>
  <si>
    <t>Jeff Droll (6.1)</t>
  </si>
  <si>
    <t>Todd Stena (6)</t>
  </si>
  <si>
    <t>Tom Espenshade (5)</t>
  </si>
  <si>
    <t>Shawn Meyers (7)</t>
  </si>
  <si>
    <t>Dan Wolfhope (4)</t>
  </si>
  <si>
    <t>Tom Espenshade (7)</t>
  </si>
  <si>
    <t>Mike Weaver (2.2)</t>
  </si>
  <si>
    <t>Mike Peterson (.2)</t>
  </si>
  <si>
    <t>Dave Blythe (7)</t>
  </si>
  <si>
    <t>Dan Carr (5)</t>
  </si>
  <si>
    <t>Tom Huff (4.1)</t>
  </si>
  <si>
    <t>Jeff Droll (1.2)</t>
  </si>
  <si>
    <t>Scott Minor (2.2)</t>
  </si>
  <si>
    <t>Bob Shaffer (2.2)</t>
  </si>
  <si>
    <t>Jeff Droll (6.2)</t>
  </si>
  <si>
    <t>Booker Jordan (3)</t>
  </si>
  <si>
    <t>Jeff Droll (3)</t>
  </si>
  <si>
    <t>Eric Cagle (3.1)</t>
  </si>
  <si>
    <t>Jeff Droll (6)</t>
  </si>
  <si>
    <t>Matt Fullerton (3)</t>
  </si>
  <si>
    <t>Erik Kempton (4)</t>
  </si>
  <si>
    <t>Drew Shaulis (7)</t>
  </si>
  <si>
    <t>Schall (7)</t>
  </si>
  <si>
    <t>Chad Harpster (1.1)</t>
  </si>
  <si>
    <t>JD Mason (5.1)</t>
  </si>
  <si>
    <t>Steinbach (3)</t>
  </si>
  <si>
    <t>Bryan Syktich ( 5)</t>
  </si>
  <si>
    <t>Brad Reider (1.2)</t>
  </si>
  <si>
    <t>Brandon Evans (1.1)</t>
  </si>
  <si>
    <t>Andrew Janocko (3)</t>
  </si>
  <si>
    <t>Max Condon (.1)</t>
  </si>
  <si>
    <t>Andrew Janocko (.2)</t>
  </si>
  <si>
    <t>Trey Wallace (5)</t>
  </si>
  <si>
    <t>Brandon Evans  (4.2)</t>
  </si>
  <si>
    <t>Chris Adams (5.2)</t>
  </si>
  <si>
    <t>Brad Zettle (6)</t>
  </si>
  <si>
    <t>Steve Putt (2)</t>
  </si>
  <si>
    <t>Doug Leitzell (7)</t>
  </si>
  <si>
    <t>Chris Rogerson (5)</t>
  </si>
  <si>
    <t>Mike Kinsey (3.1)</t>
  </si>
  <si>
    <t>Jeff Droll (8)</t>
  </si>
  <si>
    <t>Maika Symmonds (8)</t>
  </si>
  <si>
    <t>Dave Jones (3)</t>
  </si>
  <si>
    <t>Brian Pelka (4.2)</t>
  </si>
  <si>
    <t>Steve Putt (6)</t>
  </si>
  <si>
    <t>Boe Wilson (7)</t>
  </si>
  <si>
    <t>Chris Rogerson (4)</t>
  </si>
  <si>
    <t>Joe Wilson (1)</t>
  </si>
  <si>
    <t>Bob Ballenger (6)</t>
  </si>
  <si>
    <t>Chris Rogerson (7)</t>
  </si>
  <si>
    <t>Brad Zettle (3.1)</t>
  </si>
  <si>
    <t>Greg Stouffer (6)</t>
  </si>
  <si>
    <t>Jeremy Troxell (5)</t>
  </si>
  <si>
    <t>Mike Haugh (3.1)</t>
  </si>
  <si>
    <t>Chris Rogerson (4.1)</t>
  </si>
  <si>
    <t>Barry Nesbitt (7)</t>
  </si>
  <si>
    <t>Chris Rogerson (1)</t>
  </si>
  <si>
    <t>Merrill Chambers (3)</t>
  </si>
  <si>
    <t>Brian Shaffer (7.1)</t>
  </si>
  <si>
    <t>Chris Malec (6)</t>
  </si>
  <si>
    <t>Wade Fyock (6)</t>
  </si>
  <si>
    <t>Chris Rogerson (3)</t>
  </si>
  <si>
    <t>Aaron Reinard (6)</t>
  </si>
  <si>
    <t>Todd Fedder (5)</t>
  </si>
  <si>
    <t>Tom Blackiney (2)</t>
  </si>
  <si>
    <t>Jim Pittsley (3.2)</t>
  </si>
  <si>
    <t>Todd Fedder (5.1)</t>
  </si>
  <si>
    <t>Mark Ammerman (5)</t>
  </si>
  <si>
    <t>Ryan Heitsenrether (5.2)</t>
  </si>
  <si>
    <t>Gary Brungart (6)</t>
  </si>
  <si>
    <t>Mike Asti (0)</t>
  </si>
  <si>
    <t>Todd Fedder (7)</t>
  </si>
  <si>
    <t>Dan Hassinger (3.2)</t>
  </si>
  <si>
    <t>Steve Cavanaugh (2.1)</t>
  </si>
  <si>
    <t>Todd Fedder (8)</t>
  </si>
  <si>
    <t>Eric Robb (4)</t>
  </si>
  <si>
    <t>Eric Milton (1)</t>
  </si>
  <si>
    <t>Boe Wilson (3.2)</t>
  </si>
  <si>
    <t>Martin Walsh (6)</t>
  </si>
  <si>
    <t>Ben Timko (2)</t>
  </si>
  <si>
    <t>Corby Lucas (6)</t>
  </si>
  <si>
    <t>Ryan Heitsenrether (2.2)</t>
  </si>
  <si>
    <t>Wade Kurzinger (7)</t>
  </si>
  <si>
    <t>Mike Boyer (1.1)</t>
  </si>
  <si>
    <t>Scott Jondon (.1)</t>
  </si>
  <si>
    <t>Chris Rogerson (6)</t>
  </si>
  <si>
    <t>Dan Petroff (5)</t>
  </si>
  <si>
    <t>Dan Hassinger (6)</t>
  </si>
  <si>
    <t>Jasen Rowles (2.2)</t>
  </si>
  <si>
    <t>Rob Garvey (1.2)</t>
  </si>
  <si>
    <t>Chris Rogerson (2)</t>
  </si>
  <si>
    <t>Westmont Hilltop</t>
  </si>
  <si>
    <t>ACC</t>
  </si>
  <si>
    <t>Charles Briner (5)</t>
  </si>
  <si>
    <t>Charles Briner (7)</t>
  </si>
  <si>
    <t>Berton Moyer (4)</t>
  </si>
  <si>
    <t>Berton Moyer</t>
  </si>
  <si>
    <t>Harold Wilson</t>
  </si>
  <si>
    <t>Bill Thompson</t>
  </si>
  <si>
    <t>William Wilson</t>
  </si>
  <si>
    <t>Jack Miller</t>
  </si>
  <si>
    <t>Robert Smith</t>
  </si>
  <si>
    <t>Randy Matson (2.2)</t>
  </si>
  <si>
    <t>Ben Timko (4)</t>
  </si>
  <si>
    <t>Brian Keth (3.1)</t>
  </si>
  <si>
    <t>Michael Moyer (2)</t>
  </si>
  <si>
    <t>Anthony Houser (6)</t>
  </si>
  <si>
    <t>Richie Pruzinsky (7)</t>
  </si>
  <si>
    <t>Michael Moyer (5.2)</t>
  </si>
  <si>
    <t>Brandon Simpson (6)</t>
  </si>
  <si>
    <t>Olsavsky (4)</t>
  </si>
  <si>
    <t>Corey Bookhammer (5)</t>
  </si>
  <si>
    <t>Corey Bookhammer (7)</t>
  </si>
  <si>
    <t>Chase Lyle (6)</t>
  </si>
  <si>
    <t>Jim Pittsley (3.1)</t>
  </si>
  <si>
    <t>Ben Timko (5)</t>
  </si>
  <si>
    <t>Mike Asti (.1)</t>
  </si>
  <si>
    <t>Eric Crawford (2)</t>
  </si>
  <si>
    <t>Todd Fedder (1)</t>
  </si>
  <si>
    <t>Scott Schroeffel (5)</t>
  </si>
  <si>
    <t>Jasen Rowles (2)</t>
  </si>
  <si>
    <t>Andy Davis (7)</t>
  </si>
  <si>
    <t>Jasen Rowles (3)</t>
  </si>
  <si>
    <t>Jim Pittsley (6)</t>
  </si>
  <si>
    <t>Parker Herrington (2)</t>
  </si>
  <si>
    <t>Evan Kine (3)</t>
  </si>
  <si>
    <t>Trevor Flanagan (4.2)</t>
  </si>
  <si>
    <t>Nate Sabadose (4.2)</t>
  </si>
  <si>
    <t>Cambria Heights</t>
  </si>
  <si>
    <t>Brad Pry (4)</t>
  </si>
  <si>
    <t>Eric Ebeling (4)</t>
  </si>
  <si>
    <t>Ryan Bender (3.1)</t>
  </si>
  <si>
    <t>Tim Strait (5.1)</t>
  </si>
  <si>
    <t>Brad Pry (6)</t>
  </si>
  <si>
    <t>Brian Fisher (5)</t>
  </si>
  <si>
    <t>Aaron Potter (6)</t>
  </si>
  <si>
    <t>Brad Pry 4.1)</t>
  </si>
  <si>
    <t>Brad Smith (1)</t>
  </si>
  <si>
    <t>Dustin Shank (1)</t>
  </si>
  <si>
    <t>Brad Pry (0)</t>
  </si>
  <si>
    <t>Randy Matson (8)</t>
  </si>
  <si>
    <t>Matt Peacock (3)</t>
  </si>
  <si>
    <t>Brad Zettle (1)</t>
  </si>
  <si>
    <t>Ryan Bender (3.2)</t>
  </si>
  <si>
    <t>Dan Shehan (2.1)</t>
  </si>
  <si>
    <t>Matt Peacock (6)</t>
  </si>
  <si>
    <t>Craig Brown (.2)</t>
  </si>
  <si>
    <t>Ryan Bender (0)</t>
  </si>
  <si>
    <t>Brad Pry (7)</t>
  </si>
  <si>
    <t>Craig Haller (5)</t>
  </si>
  <si>
    <t>Matt Peacock (7)</t>
  </si>
  <si>
    <t>Bob Hammond (7)</t>
  </si>
  <si>
    <t>Mike Sunderland (5.2)</t>
  </si>
  <si>
    <t>Eric Milton (7)</t>
  </si>
  <si>
    <t>Brian Kostyal (.1)</t>
  </si>
  <si>
    <t>Ryan Bender (5)</t>
  </si>
  <si>
    <t>Brad Fox (1.1)</t>
  </si>
  <si>
    <t>Matt Peacock (5)</t>
  </si>
  <si>
    <t>Lee Parks (1.1)</t>
  </si>
  <si>
    <t>Brad Fox (5.1)</t>
  </si>
  <si>
    <t>Brad Pry (.1)</t>
  </si>
  <si>
    <t>Jim Pittsley (5)</t>
  </si>
  <si>
    <t>Chuck Marshall (3)</t>
  </si>
  <si>
    <t>John Yecina (1.2)</t>
  </si>
  <si>
    <t>Chuck Marshall (3.1)</t>
  </si>
  <si>
    <t>Cory Silkman (3.1)</t>
  </si>
  <si>
    <t>Max Condon (2)</t>
  </si>
  <si>
    <t>Brad Pry (2.1)</t>
  </si>
  <si>
    <t>Aaron Potter (5.2)</t>
  </si>
  <si>
    <t>Mike Sunderland (2)</t>
  </si>
  <si>
    <t>Corby Lucas (1.2)</t>
  </si>
  <si>
    <t>Mike Sunderland (3)</t>
  </si>
  <si>
    <t>Ashley Shope (5.2)</t>
  </si>
  <si>
    <t>Mike Sunderland (7)</t>
  </si>
  <si>
    <t>Kevin Lindenmuth (3.1)</t>
  </si>
  <si>
    <t>Brad Pry (4.2)</t>
  </si>
  <si>
    <t>Chad Christian (7)</t>
  </si>
  <si>
    <t>Ryan Bender (2)</t>
  </si>
  <si>
    <t>Aaron Potter (7)</t>
  </si>
  <si>
    <t>Tony Perry (4.1)</t>
  </si>
  <si>
    <t>Chuck Marshall (2.2)</t>
  </si>
  <si>
    <t>Josh Ziolkowski (8)</t>
  </si>
  <si>
    <t>Brad Pry (5)</t>
  </si>
  <si>
    <t>Marc Koromaus (1)</t>
  </si>
  <si>
    <t>Chuck Marshall (4)</t>
  </si>
  <si>
    <t>Scott Auman (4.1)</t>
  </si>
  <si>
    <t>Joe McBride (0)</t>
  </si>
  <si>
    <t>Mike Bumgardner (6)</t>
  </si>
  <si>
    <t>Mike Stitzer (4)</t>
  </si>
  <si>
    <t>Chuck Marshall (7)</t>
  </si>
  <si>
    <t>John Yecina (6.2)</t>
  </si>
  <si>
    <t>Bob Pennepacker (4)</t>
  </si>
  <si>
    <t>Mike Sunderland (5)</t>
  </si>
  <si>
    <t>Eric Milton (6)</t>
  </si>
  <si>
    <t>Pat Lyons (3)</t>
  </si>
  <si>
    <t>Marc Kromaus (7)</t>
  </si>
  <si>
    <t>John Yecina (3.2)</t>
  </si>
  <si>
    <t xml:space="preserve">SID LANSBERRY </t>
  </si>
  <si>
    <t>Matt Peacock (4)</t>
  </si>
  <si>
    <t>Matt Nicklas (8)</t>
  </si>
  <si>
    <t>Ben Haupt (4.2)</t>
  </si>
  <si>
    <t>Ryan Yastro (4.1)</t>
  </si>
  <si>
    <t>Ryan Bender (7)</t>
  </si>
  <si>
    <t>Jason Evey (5.1)</t>
  </si>
  <si>
    <t>Bryon Hillard (7)</t>
  </si>
  <si>
    <t>Chuck Marshall (5)</t>
  </si>
  <si>
    <t>Larry Crawford (2)</t>
  </si>
  <si>
    <t>Joe McBride (2.2)</t>
  </si>
  <si>
    <t>Steve Lasher (1.1)</t>
  </si>
  <si>
    <t>Corey Long (8)</t>
  </si>
  <si>
    <t>Aaron Martz (3)</t>
  </si>
  <si>
    <t>Matt Peacock (3.1)</t>
  </si>
  <si>
    <t>Don Ellis (4)</t>
  </si>
  <si>
    <t>Ryan Bender (3)</t>
  </si>
  <si>
    <t>Jason Clouse (1.1)</t>
  </si>
  <si>
    <t>Ryan Bender (1)</t>
  </si>
  <si>
    <t>Ryan Yastro (5)</t>
  </si>
  <si>
    <t>Aaron Morrison (6)</t>
  </si>
  <si>
    <t>Tim Pittsley (6 )</t>
  </si>
  <si>
    <t>Mike Stitzer (9)</t>
  </si>
  <si>
    <t>Jason Hassinger (1.1)</t>
  </si>
  <si>
    <t>Mike Sunderland (8)</t>
  </si>
  <si>
    <t>Chris Dubensky (3)</t>
  </si>
  <si>
    <t>John Yecina (5)</t>
  </si>
  <si>
    <t>Chuck Marshall (8)</t>
  </si>
  <si>
    <t>Pat Lyon (8)</t>
  </si>
  <si>
    <t>Mike Sunderland (4)</t>
  </si>
  <si>
    <t>Joe Beimel (3.1)</t>
  </si>
  <si>
    <t>Bryon Hilliard (7)</t>
  </si>
  <si>
    <t>Mike Gray (5)</t>
  </si>
  <si>
    <t>Jason Evans (2.2)</t>
  </si>
  <si>
    <t xml:space="preserve">Dan McCall (7) </t>
  </si>
  <si>
    <t>Toby Bucha (7)</t>
  </si>
  <si>
    <t>Scott Hanes (3)</t>
  </si>
  <si>
    <t>Jeremy Fisher (1)</t>
  </si>
  <si>
    <t>Chris Smith (5.2)</t>
  </si>
  <si>
    <t>Scott Hanes (1)</t>
  </si>
  <si>
    <t>Paul Mondock (1)</t>
  </si>
  <si>
    <t>Mike Sunderland (2.2)</t>
  </si>
  <si>
    <t>Shaffer (3)</t>
  </si>
  <si>
    <t>Justin Yoder (7)</t>
  </si>
  <si>
    <t>Todd Dobson (2.2)</t>
  </si>
  <si>
    <t>Scott Hanes (7)</t>
  </si>
  <si>
    <t>Brian Reese (2)</t>
  </si>
  <si>
    <t>Chris Smith (6)</t>
  </si>
  <si>
    <t>Joe McBride (4)</t>
  </si>
  <si>
    <t>Jeremy Fisher (5)</t>
  </si>
  <si>
    <t>Ryan Yastro (7)</t>
  </si>
  <si>
    <t>Mike Sunderland (7.2)</t>
  </si>
  <si>
    <t>Steve Weaver (8)</t>
  </si>
  <si>
    <t>Scott Hanes (4.2)</t>
  </si>
  <si>
    <t>Jason Knarr (7)</t>
  </si>
  <si>
    <t>Scott Hanes (5)</t>
  </si>
  <si>
    <t>Josh Cassatt (3.1)</t>
  </si>
  <si>
    <t>Jason Knarr (1)</t>
  </si>
  <si>
    <t>Johnstown Vo Tech</t>
  </si>
  <si>
    <t>Jamestown VA</t>
  </si>
  <si>
    <t>Derrick Yohe (6)</t>
  </si>
  <si>
    <t>Paggett (2)</t>
  </si>
  <si>
    <t>Maury VA</t>
  </si>
  <si>
    <t>Corey Picard (1)</t>
  </si>
  <si>
    <t>Buchman (2)</t>
  </si>
  <si>
    <t>Derrick Yohe (7)</t>
  </si>
  <si>
    <t>Shawn Hoover (6.2)</t>
  </si>
  <si>
    <t>Craig Gardner (4)</t>
  </si>
  <si>
    <t>Ryan Frankhouser (2)</t>
  </si>
  <si>
    <t>Chad Maines (7)</t>
  </si>
  <si>
    <t>Nate Stone (5.2)</t>
  </si>
  <si>
    <t>Scott Chirdon (7)</t>
  </si>
  <si>
    <t>Craig Gardner (5)</t>
  </si>
  <si>
    <t>Caylor (3)</t>
  </si>
  <si>
    <t xml:space="preserve">Jack Miller    </t>
  </si>
  <si>
    <t xml:space="preserve">Dobson    </t>
  </si>
  <si>
    <t xml:space="preserve">Forrest Johnsonbaugh    </t>
  </si>
  <si>
    <t xml:space="preserve">Hurley    </t>
  </si>
  <si>
    <t xml:space="preserve">Jack Penick    </t>
  </si>
  <si>
    <t xml:space="preserve">Crain    </t>
  </si>
  <si>
    <t xml:space="preserve">S Woodring    </t>
  </si>
  <si>
    <t xml:space="preserve">Cowell    </t>
  </si>
  <si>
    <t xml:space="preserve">Hal Bowers    </t>
  </si>
  <si>
    <t xml:space="preserve">Joe McMurray    </t>
  </si>
  <si>
    <t xml:space="preserve">Barnett    </t>
  </si>
  <si>
    <t xml:space="preserve">Don Rhone    </t>
  </si>
  <si>
    <t xml:space="preserve">Swanson    </t>
  </si>
  <si>
    <t xml:space="preserve">Bruce    </t>
  </si>
  <si>
    <t xml:space="preserve">Pavlick    </t>
  </si>
  <si>
    <t xml:space="preserve">Henry    </t>
  </si>
  <si>
    <t xml:space="preserve">Horvatin    </t>
  </si>
  <si>
    <t xml:space="preserve">Arlan Smith    </t>
  </si>
  <si>
    <t xml:space="preserve">Cashmer    </t>
  </si>
  <si>
    <t xml:space="preserve">Stan Horvatin    </t>
  </si>
  <si>
    <t xml:space="preserve">Drex Demi    </t>
  </si>
  <si>
    <t xml:space="preserve">Ron Barnett    </t>
  </si>
  <si>
    <t xml:space="preserve">Jack Kline    </t>
  </si>
  <si>
    <t xml:space="preserve">Bob Vokes    </t>
  </si>
  <si>
    <t xml:space="preserve">Jim Moore    </t>
  </si>
  <si>
    <t xml:space="preserve">Alvin Proud    </t>
  </si>
  <si>
    <t xml:space="preserve">Jack Bodle    </t>
  </si>
  <si>
    <t xml:space="preserve">Russ Letterman    </t>
  </si>
  <si>
    <t xml:space="preserve">Fent Shenkel    </t>
  </si>
  <si>
    <t xml:space="preserve">Fred McMullen    </t>
  </si>
  <si>
    <t>Justin Kopchick (4)</t>
  </si>
  <si>
    <t>Corey Bookhamer (5.2)</t>
  </si>
  <si>
    <t>Chad Zurat (7)</t>
  </si>
  <si>
    <t>Jared Heschike (4.1)</t>
  </si>
  <si>
    <t>Curtis Frye (3.1)</t>
  </si>
  <si>
    <t>Matt Frederick (5)</t>
  </si>
  <si>
    <t>Joe Pisano (4.2)</t>
  </si>
  <si>
    <t>Jarrett Fulmer (.1)</t>
  </si>
  <si>
    <t>Sam Snyder (2)</t>
  </si>
  <si>
    <t>Von Walker (3.3)</t>
  </si>
  <si>
    <t>Dylan Womer (4)</t>
  </si>
  <si>
    <t>Tyler Jacobson (3.2)</t>
  </si>
  <si>
    <t>Jarrett Fulmer (6)</t>
  </si>
  <si>
    <t>Jake Belinda (4)</t>
  </si>
  <si>
    <t>Jarrett Fulmer (5)</t>
  </si>
  <si>
    <t>Trevor Flanagan (6)</t>
  </si>
  <si>
    <t>Anthony Black (1.2)</t>
  </si>
  <si>
    <t>Matt Kyper (3)</t>
  </si>
  <si>
    <t>Kurtis Krise (1.2)</t>
  </si>
  <si>
    <t>Kasey Hamm (2)</t>
  </si>
  <si>
    <t>Rodney Patterson (7)</t>
  </si>
  <si>
    <t>Juniata Valley</t>
  </si>
  <si>
    <t>Ronny Ogden (1)</t>
  </si>
  <si>
    <t>Dane Baker (4)</t>
  </si>
  <si>
    <t>Cody Lee (7)</t>
  </si>
  <si>
    <t>Kerry Cowher (2)</t>
  </si>
  <si>
    <t>Dakota Zook (1.1)</t>
  </si>
  <si>
    <t>Jarrett Fulmer (2)</t>
  </si>
  <si>
    <t>Parker Watson (4)</t>
  </si>
  <si>
    <t>Trey Stover (5)</t>
  </si>
  <si>
    <t>Ronny Ogden (4)</t>
  </si>
  <si>
    <t>Kiby Moist (4.2)</t>
  </si>
  <si>
    <t>Tyler Jacobson (6)</t>
  </si>
  <si>
    <t>Jared Braid (7)</t>
  </si>
  <si>
    <t>Matt Kyper (.1)</t>
  </si>
  <si>
    <t>Trevor Flanagan (4)</t>
  </si>
  <si>
    <t>Steve Wilber (3)</t>
  </si>
  <si>
    <t>Kevin Hoy (6)</t>
  </si>
  <si>
    <t>W</t>
  </si>
  <si>
    <t>L</t>
  </si>
  <si>
    <t>Derrick Yohe (1.1)</t>
  </si>
  <si>
    <t>Cory Hoover (2.1)</t>
  </si>
  <si>
    <t>Cory Hoover (4)</t>
  </si>
  <si>
    <t>Jeff O'Link (3)</t>
  </si>
  <si>
    <t>Jeff O'Link (5)</t>
  </si>
  <si>
    <t>Jeff O'Link (6)</t>
  </si>
  <si>
    <t>Myers (7)</t>
  </si>
  <si>
    <t>Bill Witmer (3.1)</t>
  </si>
  <si>
    <t>BJ Clark (5)</t>
  </si>
  <si>
    <t>Neibeigh (5.2)</t>
  </si>
  <si>
    <t>Jermie Fitzgerald (7)</t>
  </si>
  <si>
    <t>Shawn Hoover (5.1)</t>
  </si>
  <si>
    <t>Dan Socoashn (0)</t>
  </si>
  <si>
    <t>Paul Evans (6.2)</t>
  </si>
  <si>
    <t>Sabestian Smichek (4.2)</t>
  </si>
  <si>
    <t>Mark Hoover (3.2)</t>
  </si>
  <si>
    <t>Dave Majerski (6)</t>
  </si>
  <si>
    <t>Matt Kline (6)</t>
  </si>
  <si>
    <t>Mark Paulhamus (5.2)</t>
  </si>
  <si>
    <t>BJ Clark (6)</t>
  </si>
  <si>
    <t>Sean Rainey (2.1)</t>
  </si>
  <si>
    <t>Brandon Evans (2.1)</t>
  </si>
  <si>
    <t>Brin Shaw (1.2)</t>
  </si>
  <si>
    <t>Jeff O'Link</t>
  </si>
  <si>
    <t>Kyler Kephart (0)</t>
  </si>
  <si>
    <t>Wyatt Westen (2)</t>
  </si>
  <si>
    <t>Kyler Kephart (7)</t>
  </si>
  <si>
    <t>Kurtis Krise (1.1)</t>
  </si>
  <si>
    <t>Wyatt Westen (4.2)</t>
  </si>
  <si>
    <t>Hunter Payne (2)</t>
  </si>
  <si>
    <t>Taylor Smith (2)</t>
  </si>
  <si>
    <t>Cody Luse (5.1)</t>
  </si>
  <si>
    <t>Dane Baker (3)</t>
  </si>
  <si>
    <t>Nate Negri (1)</t>
  </si>
  <si>
    <t>Ronnie Ogden (3.1)</t>
  </si>
  <si>
    <t>Caleb Pepperday (5)</t>
  </si>
  <si>
    <t>Ian Yount (6)</t>
  </si>
  <si>
    <t>Kyler Kephart (3.2)</t>
  </si>
  <si>
    <t>Ronnie Ogden (2)</t>
  </si>
  <si>
    <t>Justin Beimel (7)</t>
  </si>
  <si>
    <t>Jordan Miller (4)</t>
  </si>
  <si>
    <t>Ronnie Ogden (6)</t>
  </si>
  <si>
    <t>Dan Rinfrette (2.1)</t>
  </si>
  <si>
    <t>Wyatt Westen (2.2)</t>
  </si>
  <si>
    <t>Mike Mock (2.2)</t>
  </si>
  <si>
    <t>Ronnie Ogden (5.1)</t>
  </si>
  <si>
    <t>Hunter Price (6.1)</t>
  </si>
  <si>
    <t>Kyler Kephart (6)</t>
  </si>
  <si>
    <t>Nate Cleaver (4.1)</t>
  </si>
  <si>
    <t>Ronnie Ogden (4)</t>
  </si>
  <si>
    <t>Luke Wise (7)</t>
  </si>
  <si>
    <t>Kyler Kephart (1)</t>
  </si>
  <si>
    <t>Mark Curtis (4)</t>
  </si>
  <si>
    <t>Jake Belinda (7)</t>
  </si>
  <si>
    <t>Eathan Lewis (1)</t>
  </si>
  <si>
    <t>Latrobe</t>
  </si>
  <si>
    <t>Matt Brenneman (6.1)</t>
  </si>
  <si>
    <t>Jon Janocko (6)</t>
  </si>
  <si>
    <t>Devin Jones (6)</t>
  </si>
  <si>
    <t>Ryan Sloniger (5)</t>
  </si>
  <si>
    <t>Jon Janocko (5)</t>
  </si>
  <si>
    <t>Noah Peryman (2.1)</t>
  </si>
  <si>
    <t>Wyatt Westen (3.1)</t>
  </si>
  <si>
    <t>Adam DeGarmo (3)</t>
  </si>
  <si>
    <t>Thomas Summers (.1)</t>
  </si>
  <si>
    <t>Mike Mann (4)</t>
  </si>
  <si>
    <t>Thomas Summers (5.2)</t>
  </si>
  <si>
    <t>Taylor Butts (5.2)</t>
  </si>
  <si>
    <t>Jon Janocko (5.1)</t>
  </si>
  <si>
    <t>Curtis Matsko (6)</t>
  </si>
  <si>
    <t>Nate Brady (1.1)</t>
  </si>
  <si>
    <t>Colton Comly (2)</t>
  </si>
  <si>
    <t>Wyatt Shaffer (4)</t>
  </si>
  <si>
    <t>Brandon Orsich (7)</t>
  </si>
  <si>
    <t>Ryan McElwee (2)</t>
  </si>
  <si>
    <t>Thomas Summers (6)</t>
  </si>
  <si>
    <t>Thomas Summers (5.1)</t>
  </si>
  <si>
    <t>Cameron Tobias (5)</t>
  </si>
  <si>
    <t>Devin Jones (8)</t>
  </si>
  <si>
    <t>Tristan Lingafelt (3)</t>
  </si>
  <si>
    <t>Thomas Summers (4)</t>
  </si>
  <si>
    <t>Devon Claar (1.1)</t>
  </si>
  <si>
    <t>Devon Walker (7)</t>
  </si>
  <si>
    <t>Jon Janocko (4.2)</t>
  </si>
  <si>
    <t>Mike Mock (7)</t>
  </si>
  <si>
    <t>Devin Jones (4)</t>
  </si>
  <si>
    <t>Zack Kokoska (4)</t>
  </si>
  <si>
    <t>Jon Janocko (1.2)</t>
  </si>
  <si>
    <t>Trentin Martin (4)</t>
  </si>
  <si>
    <t>TJ Rice (4.2)</t>
  </si>
  <si>
    <t>Brandon Orsich (6)</t>
  </si>
  <si>
    <t>Colton Comly (5)</t>
  </si>
  <si>
    <t>Thomas Summers (2.2)</t>
  </si>
  <si>
    <t>Tanner Lamb (5)</t>
  </si>
  <si>
    <t>Zack Croft (5)</t>
  </si>
  <si>
    <t>Devin Jones (7)</t>
  </si>
  <si>
    <t>Cody Luse (8)</t>
  </si>
  <si>
    <t>Devin Jones (3)</t>
  </si>
  <si>
    <t>Ashtin Matthews (.1)</t>
  </si>
  <si>
    <t>Matt Hample (6.2)</t>
  </si>
  <si>
    <t>Jon Janocko (7)</t>
  </si>
  <si>
    <t>Taylor Smith (6)</t>
  </si>
  <si>
    <t>Wyatt Westen (3.3)</t>
  </si>
  <si>
    <t>Clayton Stover (5)</t>
  </si>
  <si>
    <t>Thomas Summers (4.1)</t>
  </si>
  <si>
    <t>Zach Croft (6.2)</t>
  </si>
  <si>
    <t>Devin Jones (2)</t>
  </si>
  <si>
    <t>John Romine (7)</t>
  </si>
  <si>
    <t>Wyatt Westen (5)</t>
  </si>
  <si>
    <t>Hunter Price (1.1)</t>
  </si>
  <si>
    <t>Thomas Summers (3)</t>
  </si>
  <si>
    <t>Nick Gray (4)</t>
  </si>
  <si>
    <t>Jon Janocko (5.2)</t>
  </si>
  <si>
    <t>Josh Hayes (5)</t>
  </si>
  <si>
    <t>Jon Janocko (3.2)</t>
  </si>
  <si>
    <t>Lance Pennington (4)</t>
  </si>
  <si>
    <t>Thomas Summers (6.1)</t>
  </si>
  <si>
    <t>Jake Belinda (3.1)</t>
  </si>
  <si>
    <t>Wyatt Westen (3.2)</t>
  </si>
  <si>
    <t>Nate Cleaver (5)</t>
  </si>
  <si>
    <t>Adam Everhart (.2)</t>
  </si>
  <si>
    <t>Jon Janocko (2.1)</t>
  </si>
  <si>
    <t>Hunter Price (2.2)</t>
  </si>
  <si>
    <t>Thomas Summers (7)</t>
  </si>
  <si>
    <t>Mike Mock (5)</t>
  </si>
  <si>
    <t>Jacob Dubbs (0)</t>
  </si>
  <si>
    <t>Ryan Sloniger (2)</t>
  </si>
  <si>
    <t>Thomas Summer (6)</t>
  </si>
  <si>
    <t>Tristan Lingafelt (4)</t>
  </si>
  <si>
    <t>Cam Domblisky (2.2)</t>
  </si>
  <si>
    <t>Sam Vought (5)</t>
  </si>
  <si>
    <t>Nate Gearhart (4)</t>
  </si>
  <si>
    <t>Spencer Herrington (2)</t>
  </si>
  <si>
    <t>Tristan Lingafelt (.2)</t>
  </si>
  <si>
    <t>Brandon Orsich (3)</t>
  </si>
  <si>
    <t>Bryce Timko (4.2)</t>
  </si>
  <si>
    <t>Brandon Orsich (5.1)</t>
  </si>
  <si>
    <t>Devin Walk (6.2)</t>
  </si>
  <si>
    <t>Spencer Herrington (1)</t>
  </si>
  <si>
    <t>LJ Johnson (6.1)</t>
  </si>
  <si>
    <t>Forfeit</t>
  </si>
  <si>
    <t>Kyler Mellott (.2)</t>
  </si>
  <si>
    <t>LJ Johnson (7)</t>
  </si>
  <si>
    <t>Thomas Summers (4.2)</t>
  </si>
  <si>
    <t>Isaac Knepp (4.1)</t>
  </si>
  <si>
    <t>Zach Byerly (3)</t>
  </si>
  <si>
    <t>Will Myers (5)</t>
  </si>
  <si>
    <t>Thomas Summer (7)</t>
  </si>
  <si>
    <t>Jason Jones (6.2)</t>
  </si>
  <si>
    <t>JB Stiles (3)</t>
  </si>
  <si>
    <t>Jake Sobera (6)</t>
  </si>
  <si>
    <t>Landon Fisher (4)</t>
  </si>
  <si>
    <t>Cordell Bowser (3)</t>
  </si>
  <si>
    <t>AJ Onder (7)</t>
  </si>
  <si>
    <t>Jake Sobera (2)</t>
  </si>
  <si>
    <t>Kyler Mellott (6)</t>
  </si>
  <si>
    <t>Zach Soeliner (5.2)</t>
  </si>
  <si>
    <t>Logan Lykens (0)</t>
  </si>
  <si>
    <t>Jarrett Imler (7)</t>
  </si>
  <si>
    <t>Jake Sobera (7)</t>
  </si>
  <si>
    <t>Ben Reitz (5.1)</t>
  </si>
  <si>
    <t>Josh Earnest (5.2)</t>
  </si>
  <si>
    <t>Jake Sobera (0)</t>
  </si>
  <si>
    <t>Chase Collison (1.2)</t>
  </si>
  <si>
    <t>Will Myers (6)</t>
  </si>
  <si>
    <t>Gage Coudriet (7)</t>
  </si>
  <si>
    <t>Adam Armstrong (2)</t>
  </si>
  <si>
    <t>Jake Sobera (2.2)</t>
  </si>
  <si>
    <t>Hunter Homan (2.2)</t>
  </si>
  <si>
    <t>Tommy Hazel (5)</t>
  </si>
  <si>
    <t>Ryan Guenot (6)</t>
  </si>
  <si>
    <t>Matt Brenneman (6)</t>
  </si>
  <si>
    <t>Bryce Timko (3)</t>
  </si>
  <si>
    <t>Jake Sobera (4.2)</t>
  </si>
  <si>
    <t>Jon Wagner (3.1)</t>
  </si>
  <si>
    <t>Will Myers (3)</t>
  </si>
  <si>
    <t>John Matthews (7)</t>
  </si>
  <si>
    <t>Andrew Bacha (4)</t>
  </si>
  <si>
    <t>Austin Lansberry (2.1)</t>
  </si>
  <si>
    <t>Jake Sobera (5)</t>
  </si>
  <si>
    <t>Noah Schneider (0.1)</t>
  </si>
  <si>
    <t>Eli Glass (0.1)</t>
  </si>
  <si>
    <t>South Park</t>
  </si>
  <si>
    <t>Tommy Hazel (4.1)</t>
  </si>
  <si>
    <t>Logan Johnston (3)</t>
  </si>
  <si>
    <t>Hunter Brooks (4)</t>
  </si>
  <si>
    <t>Eli Glass (6.2)</t>
  </si>
  <si>
    <t>Matt Hartman (3)</t>
  </si>
  <si>
    <t>Matt Agosti (4)</t>
  </si>
  <si>
    <t>Will Myers (5.2)</t>
  </si>
  <si>
    <t>Gage Coudriet (6)</t>
  </si>
  <si>
    <t>Avery Francisco (2.1)</t>
  </si>
  <si>
    <t>Hunter Hoffman (6.2)</t>
  </si>
  <si>
    <t>Micha Womer (7)</t>
  </si>
  <si>
    <t>Bryan Dworek (3)</t>
  </si>
  <si>
    <t>Eli Glass (3.2)</t>
  </si>
  <si>
    <t>Ash Wetzler (6)</t>
  </si>
  <si>
    <t>Eli Glass (2.1)</t>
  </si>
  <si>
    <t>Brian Gunter (2.1)</t>
  </si>
  <si>
    <t>Will Myers (4.2)</t>
  </si>
  <si>
    <t>Ben Briggs (7)</t>
  </si>
  <si>
    <t>Eli Glass (7)</t>
  </si>
  <si>
    <t>Brandon Mathews (6)</t>
  </si>
  <si>
    <t>Josh Earnest (6.1)</t>
  </si>
  <si>
    <t>Tommy Hazel (2.1)</t>
  </si>
  <si>
    <t>Alex Hoenstein (0.2)</t>
  </si>
  <si>
    <t>Luke Snyder (6)</t>
  </si>
  <si>
    <t>Christian Bakaysa (1.2)</t>
  </si>
  <si>
    <t>Tommy Hazel (1)</t>
  </si>
  <si>
    <t>Ty Walker (6.1)</t>
  </si>
  <si>
    <t>Will Myers (2)</t>
  </si>
  <si>
    <t>Brady Nicewonger (6)</t>
  </si>
  <si>
    <t>Jake Sobera (4)</t>
  </si>
  <si>
    <t>Adam Armstrong (3.2)</t>
  </si>
  <si>
    <t>Jared Showalter (4.1)</t>
  </si>
  <si>
    <t>Devin Jones (3.1)</t>
  </si>
  <si>
    <t>Jon Mathews (7)</t>
  </si>
  <si>
    <t>Mitch Winters (7)</t>
  </si>
  <si>
    <t>Kevin Vaupel (7)</t>
  </si>
  <si>
    <t>Jake Sobera (5.1)</t>
  </si>
  <si>
    <t>DuBois Central</t>
  </si>
  <si>
    <t>Central Mountain</t>
  </si>
  <si>
    <t>Central Cambria</t>
  </si>
  <si>
    <t>Games</t>
  </si>
  <si>
    <t>Wins</t>
  </si>
  <si>
    <t>Losses</t>
  </si>
  <si>
    <t>Ties</t>
  </si>
  <si>
    <t>Last Meeting</t>
  </si>
  <si>
    <t>Bishop Walsh MD</t>
  </si>
  <si>
    <t>Bishop Sullivan VA</t>
  </si>
  <si>
    <t>NO TEAM BECAUSE OF COVID-19</t>
  </si>
  <si>
    <t>2020</t>
  </si>
  <si>
    <t>At</t>
  </si>
  <si>
    <t>Montour</t>
  </si>
  <si>
    <t>Hunter Dixon (4)</t>
  </si>
  <si>
    <t>Devon Boyles (4)</t>
  </si>
  <si>
    <t>Josh Tyger (3.1)</t>
  </si>
  <si>
    <t>Hunter Dixon (5)</t>
  </si>
  <si>
    <t>Wyatt Coakley (6.1)</t>
  </si>
  <si>
    <t>Hunter Dixon (7)</t>
  </si>
  <si>
    <t>Jake Sorbera (6.2)</t>
  </si>
  <si>
    <t>Cade Walker (4)</t>
  </si>
  <si>
    <t>Ryan Whitehead (7)</t>
  </si>
  <si>
    <t>Hunter Hipps (4.1)</t>
  </si>
  <si>
    <t>Jared Groll (0.1)</t>
  </si>
  <si>
    <t>Cabe Walker (7)</t>
  </si>
  <si>
    <t>Hunter Dixon (6)</t>
  </si>
  <si>
    <t>Shane Roberts (2)</t>
  </si>
  <si>
    <t>Gannon Kadlecik (5)</t>
  </si>
  <si>
    <t>Christian Coudreit (7)</t>
  </si>
  <si>
    <t>Hunter Dixon (6.1)</t>
  </si>
  <si>
    <t>Bobby Marsh (2.1)</t>
  </si>
  <si>
    <t>Ryan Gearhart (2)</t>
  </si>
  <si>
    <t>Devon Boyles (2)</t>
  </si>
  <si>
    <t>Ben Ryan (1.1)</t>
  </si>
  <si>
    <t>Dylan Treaster (3.2)</t>
  </si>
  <si>
    <t>Alec Greenblat (7)</t>
  </si>
  <si>
    <t>Eli Glass (2)</t>
  </si>
  <si>
    <t>Nate Beimel (4)</t>
  </si>
  <si>
    <t>Eli Glass (4)</t>
  </si>
  <si>
    <t>Harrison Peacock (3.1)</t>
  </si>
  <si>
    <t>Jamison Rhoades (0)</t>
  </si>
  <si>
    <t>Jeremiah Farley (5.2)</t>
  </si>
  <si>
    <t>Tyler Newell (3)</t>
  </si>
  <si>
    <t>Hunter Dixon (1)</t>
  </si>
  <si>
    <t>Morgen Billotte (4)</t>
  </si>
  <si>
    <t>Maclain Welshans (5)</t>
  </si>
  <si>
    <t>Kyle Elensky (4.1)</t>
  </si>
  <si>
    <t>Ashton Steele (3)</t>
  </si>
  <si>
    <t>Jamison Rhoades (4)</t>
  </si>
  <si>
    <t>Aiden Coleman (7)</t>
  </si>
  <si>
    <t>Kyle Elensky (4)</t>
  </si>
  <si>
    <t>Ross Gampe (7)</t>
  </si>
  <si>
    <t>Eli Glass (4.2)</t>
  </si>
  <si>
    <t>Nick Maynard (5)</t>
  </si>
  <si>
    <t>Eli Glass (5)</t>
  </si>
  <si>
    <t>Christian Bakaysa (2)</t>
  </si>
  <si>
    <t>Hayden Williams (1)</t>
  </si>
  <si>
    <t>Derek Fravel (2)</t>
  </si>
  <si>
    <t>Peyton Manion (6.2)</t>
  </si>
  <si>
    <t>Cabe Walker (3)</t>
  </si>
  <si>
    <t>Dylan Focht (7)</t>
  </si>
  <si>
    <t>Matt Savino (4)</t>
  </si>
  <si>
    <t>Cabe Walker (3.2)</t>
  </si>
  <si>
    <t>Isaac Knarr (5.1)</t>
  </si>
  <si>
    <t>Ryan Whitehead (6)</t>
  </si>
  <si>
    <t>Rece Ritchey (1)</t>
  </si>
  <si>
    <t>Eli Glass (4.1)</t>
  </si>
  <si>
    <t>Norm Williamson (6)</t>
  </si>
  <si>
    <t>Ashton Wetzel (7)</t>
  </si>
  <si>
    <t>Eli Glass (6)</t>
  </si>
  <si>
    <t>Aiden Coleman (4)</t>
  </si>
  <si>
    <t>Ryan Whitehead (6.1)</t>
  </si>
  <si>
    <t>Issac Snare (6)</t>
  </si>
  <si>
    <t>Mason Lieb (5)</t>
  </si>
  <si>
    <t>Wyatt McClain (6)</t>
  </si>
  <si>
    <t>Parker White (4)</t>
  </si>
  <si>
    <t>Jake Mullins (3.2)</t>
  </si>
  <si>
    <t>Kyle Elensky (5)</t>
  </si>
  <si>
    <t>Derek Fravel (3)</t>
  </si>
  <si>
    <t>Josh Bryson (6)</t>
  </si>
  <si>
    <t>Ryan Gearhart (3.2)</t>
  </si>
  <si>
    <t>Shane Coudriet (3.2)</t>
  </si>
  <si>
    <t>Kyle Elensky (3)</t>
  </si>
  <si>
    <t>Hunter Hipps (1)</t>
  </si>
  <si>
    <t>Dayne Bauman (4.2)</t>
  </si>
  <si>
    <t>Dylan Focht (2)</t>
  </si>
  <si>
    <t>Cabe Walker (5)</t>
  </si>
  <si>
    <t>Logan Snyder (5)</t>
  </si>
  <si>
    <t>Bobby Marsh (5)</t>
  </si>
  <si>
    <t>Matthew Tobias (6)</t>
  </si>
  <si>
    <t>Reese Willson (0.1)</t>
  </si>
  <si>
    <t>Alex Mykut (6.2)</t>
  </si>
  <si>
    <t>Cole LeBenne (0.1)</t>
  </si>
  <si>
    <t>Micha Woomer (0.2)</t>
  </si>
  <si>
    <t>Cabe Walker(3)</t>
  </si>
  <si>
    <t>Reese Wilson (2.2)</t>
  </si>
  <si>
    <t>Jason Ferry (2)</t>
  </si>
  <si>
    <t>Seth Shuey (3.1)</t>
  </si>
  <si>
    <t>Jake Sorbera (6)</t>
  </si>
  <si>
    <t>Eli Glass (5.2)</t>
  </si>
  <si>
    <t>Avery Francisco (2)</t>
  </si>
  <si>
    <t>Josh Earnest (5)</t>
  </si>
  <si>
    <t>Jake Sorbera (7)</t>
  </si>
  <si>
    <t>Jake Sorbera (5)</t>
  </si>
  <si>
    <t>Cory Lehman (3)</t>
  </si>
  <si>
    <t>Thomas Kauffman (5)</t>
  </si>
  <si>
    <t>Eli Glass (1.1)</t>
  </si>
  <si>
    <t>Garret Barnhart (5)</t>
  </si>
  <si>
    <t>Jared Showalter (7)</t>
  </si>
  <si>
    <t>Brandon Matthews (3)</t>
  </si>
  <si>
    <t>Brandon Matthews (2)</t>
  </si>
  <si>
    <t>7-</t>
  </si>
  <si>
    <t>4-</t>
  </si>
  <si>
    <t>11-</t>
  </si>
  <si>
    <t>1</t>
  </si>
  <si>
    <t>8-</t>
  </si>
  <si>
    <t>6-</t>
  </si>
  <si>
    <t>Won District 9 Championship</t>
  </si>
  <si>
    <t>PCT</t>
  </si>
  <si>
    <t>Clearfield Bison Baseball</t>
  </si>
  <si>
    <t>Record by Opponent</t>
  </si>
  <si>
    <t>Score by Game (Opponent)</t>
  </si>
  <si>
    <t>Score by Game (Season)</t>
  </si>
  <si>
    <t>Landon Perry (5)</t>
  </si>
  <si>
    <t>Blake Prestash (5)</t>
  </si>
  <si>
    <t>Bryce Rafferty (.2)</t>
  </si>
  <si>
    <t>Kyle Elensky (7)</t>
  </si>
  <si>
    <t>Westin McClain (5)</t>
  </si>
  <si>
    <t>Ryan Gearhart (7)</t>
  </si>
  <si>
    <t>Tony Lewis (3)</t>
  </si>
  <si>
    <t>Peyton Vancas (5.2)</t>
  </si>
  <si>
    <t>Dave Meersand (6)</t>
  </si>
  <si>
    <t>Colby Hahn (5)</t>
  </si>
  <si>
    <t>Ryan Gearhart (5)</t>
  </si>
  <si>
    <t>Blake Prestash (5.2)</t>
  </si>
  <si>
    <t>McGwire Heverly (7)</t>
  </si>
  <si>
    <t>Kyle Niewinski (4.1)</t>
  </si>
  <si>
    <t>Tycen Roy (1.1)</t>
  </si>
  <si>
    <t>Blake Prestash (3)</t>
  </si>
  <si>
    <t>Zach Legars (6)</t>
  </si>
  <si>
    <t>Landon Hammer (6)</t>
  </si>
  <si>
    <t>Ryan Gearhart (3)</t>
  </si>
  <si>
    <t>Peyton Vancas (4)</t>
  </si>
  <si>
    <t>Isaac Durendetta (1.2)</t>
  </si>
  <si>
    <t>Josh Bryson ((5)</t>
  </si>
  <si>
    <t>Ashton Steele (3.2)</t>
  </si>
  <si>
    <t>Hunter Rumsky (6.1)</t>
  </si>
  <si>
    <t>Ty Holz (7)</t>
  </si>
  <si>
    <t>Ryan Gearhart (6.2)</t>
  </si>
  <si>
    <t>Landon Perry (4.2)</t>
  </si>
  <si>
    <t>Talan Reese (3)</t>
  </si>
  <si>
    <t>Justin Miller (3)</t>
  </si>
  <si>
    <t>Hunter Rumsky (1.1)</t>
  </si>
  <si>
    <t>Shane Sunderlin (3.2)</t>
  </si>
  <si>
    <t>Kyle Elensky (6.2)</t>
  </si>
  <si>
    <t>Christian Coudriet (6)</t>
  </si>
  <si>
    <t>Aiden VanLenten (7)</t>
  </si>
  <si>
    <t>Cody Racchini (1)</t>
  </si>
  <si>
    <t>Joe Gaibraith (3.1)</t>
  </si>
  <si>
    <t>Joe Galbraith (3.1)</t>
  </si>
  <si>
    <t>Mark Heisel (5)</t>
  </si>
  <si>
    <t xml:space="preserve">Bud Whitehill    </t>
  </si>
  <si>
    <t>Bud Whitehill</t>
  </si>
  <si>
    <t>Robert Gummo (5)</t>
  </si>
  <si>
    <t>Shawn Manning (5.1)</t>
  </si>
  <si>
    <t>Andrew Bacha (7)</t>
  </si>
  <si>
    <t>Dan Manion (3.1)</t>
  </si>
  <si>
    <t>Dan Manion (1.2)</t>
  </si>
  <si>
    <t>Dan Burfield (1.1)</t>
  </si>
  <si>
    <t>Aaron Bubb (4.2)</t>
  </si>
  <si>
    <t>Scott Schell (7)</t>
  </si>
  <si>
    <t>Karter Rivera (1)</t>
  </si>
  <si>
    <t>Karter Rivera (7)</t>
  </si>
  <si>
    <t>Corey McElwee (7)</t>
  </si>
  <si>
    <t>Bill Hoffman (.1)</t>
  </si>
  <si>
    <t>Jon Meyers (4.2)</t>
  </si>
  <si>
    <t>Jordan Andrulonis (7)</t>
  </si>
  <si>
    <t>Zach Smith (2.2)</t>
  </si>
  <si>
    <t>Matt Melillo (2)</t>
  </si>
  <si>
    <t>Dan Miloser (7)</t>
  </si>
  <si>
    <t>Joe Heilsek (3.2)</t>
  </si>
  <si>
    <t>Kareem Spearman (1.1)</t>
  </si>
  <si>
    <t>Shawn Hoover (6)</t>
  </si>
  <si>
    <t>Gerald Hoy (7)</t>
  </si>
  <si>
    <t>Lance Karstetter (7)</t>
  </si>
  <si>
    <t>Jeremy Fultoin (7)</t>
  </si>
  <si>
    <t>Jeremy Fulton (5)</t>
  </si>
  <si>
    <t>Jeremy Fulton (7)</t>
  </si>
  <si>
    <t>Chris Claar (5.2)</t>
  </si>
  <si>
    <t>Justin Kauffman (2.2)</t>
  </si>
  <si>
    <t>Nate Lehman (5)</t>
  </si>
  <si>
    <t>Pat Mullaney (2.2)</t>
  </si>
  <si>
    <t>Jeff Shaffer (1.1)</t>
  </si>
  <si>
    <t>Will Cooper (4)</t>
  </si>
  <si>
    <t>Larry Rupp (3.2)</t>
  </si>
  <si>
    <t>Max Ardary (7)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</si>
</sst>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m\ d\,\ yyyy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  <numFmt numFmtId="170" formatCode="[$-409]dddd\,\ mmmm\ d\,\ yyyy"/>
    <numFmt numFmtId="171" formatCode="_(* #,##0.000_);_(* \(#,##0.000\);_(* &quot;-&quot;??_);_(@_)"/>
  </numFmts>
  <fonts count="42">
    <font>
      <sz val="12"/>
      <name val="Helv"/>
      <family val="0"/>
    </font>
    <font>
      <sz val="10"/>
      <name val="Arial"/>
      <family val="0"/>
    </font>
    <font>
      <u val="single"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65" fontId="3" fillId="0" borderId="0" xfId="0" applyNumberFormat="1" applyFont="1" applyFill="1" applyAlignment="1" quotePrefix="1">
      <alignment horizontal="left"/>
    </xf>
    <xf numFmtId="165" fontId="3" fillId="0" borderId="0" xfId="0" applyNumberFormat="1" applyFont="1" applyFill="1" applyAlignment="1" applyProtection="1" quotePrefix="1">
      <alignment horizontal="left"/>
      <protection/>
    </xf>
    <xf numFmtId="0" fontId="3" fillId="0" borderId="0" xfId="0" applyFont="1" applyFill="1" applyAlignment="1">
      <alignment horizontal="left"/>
    </xf>
    <xf numFmtId="167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3" fillId="0" borderId="0" xfId="42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42" applyNumberFormat="1" applyFont="1" applyAlignment="1">
      <alignment horizontal="right"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69" fontId="3" fillId="0" borderId="0" xfId="42" applyNumberFormat="1" applyFont="1" applyAlignment="1">
      <alignment horizontal="right"/>
    </xf>
    <xf numFmtId="169" fontId="3" fillId="0" borderId="10" xfId="4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564"/>
  <sheetViews>
    <sheetView tabSelected="1" workbookViewId="0" topLeftCell="A1">
      <selection activeCell="A1" sqref="A1:AR1"/>
    </sheetView>
  </sheetViews>
  <sheetFormatPr defaultColWidth="11.4453125" defaultRowHeight="15.75"/>
  <cols>
    <col min="1" max="1" width="12.10546875" style="5" bestFit="1" customWidth="1"/>
    <col min="2" max="2" width="2.99609375" style="2" bestFit="1" customWidth="1"/>
    <col min="3" max="3" width="15.3359375" style="2" bestFit="1" customWidth="1"/>
    <col min="4" max="4" width="4.5546875" style="2" bestFit="1" customWidth="1"/>
    <col min="5" max="19" width="1.88671875" style="18" bestFit="1" customWidth="1"/>
    <col min="20" max="22" width="2.3359375" style="3" customWidth="1"/>
    <col min="23" max="23" width="0.88671875" style="2" customWidth="1"/>
    <col min="24" max="24" width="16.99609375" style="2" bestFit="1" customWidth="1"/>
    <col min="25" max="31" width="1.88671875" style="18" bestFit="1" customWidth="1"/>
    <col min="32" max="32" width="1.2265625" style="18" bestFit="1" customWidth="1"/>
    <col min="33" max="39" width="1.88671875" style="18" bestFit="1" customWidth="1"/>
    <col min="40" max="42" width="2.3359375" style="3" customWidth="1"/>
    <col min="43" max="43" width="0.88671875" style="2" customWidth="1"/>
    <col min="44" max="44" width="17.21484375" style="2" bestFit="1" customWidth="1"/>
    <col min="45" max="45" width="2.77734375" style="2" customWidth="1"/>
    <col min="46" max="46" width="2.5546875" style="2" bestFit="1" customWidth="1"/>
    <col min="47" max="47" width="11.4453125" style="2" customWidth="1"/>
    <col min="48" max="16384" width="11.4453125" style="2" customWidth="1"/>
  </cols>
  <sheetData>
    <row r="1" spans="1:44" ht="15">
      <c r="A1" s="30" t="s">
        <v>2332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12.75">
      <c r="A2" s="31" t="s">
        <v>2335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4" spans="1:47" ht="12.75">
      <c r="A4" s="6" t="s">
        <v>139</v>
      </c>
      <c r="B4" s="6"/>
      <c r="C4" s="6" t="s">
        <v>140</v>
      </c>
      <c r="D4" s="6"/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 t="s">
        <v>141</v>
      </c>
      <c r="O4" s="19" t="s">
        <v>142</v>
      </c>
      <c r="P4" s="19" t="s">
        <v>143</v>
      </c>
      <c r="Q4" s="19" t="s">
        <v>144</v>
      </c>
      <c r="R4" s="19" t="s">
        <v>145</v>
      </c>
      <c r="S4" s="19" t="s">
        <v>146</v>
      </c>
      <c r="T4" s="7" t="s">
        <v>149</v>
      </c>
      <c r="U4" s="7" t="s">
        <v>150</v>
      </c>
      <c r="V4" s="7" t="s">
        <v>151</v>
      </c>
      <c r="W4" s="7"/>
      <c r="X4" s="6" t="s">
        <v>395</v>
      </c>
      <c r="Y4" s="19">
        <v>1</v>
      </c>
      <c r="Z4" s="19">
        <v>2</v>
      </c>
      <c r="AA4" s="19">
        <v>3</v>
      </c>
      <c r="AB4" s="19">
        <v>4</v>
      </c>
      <c r="AC4" s="19">
        <v>5</v>
      </c>
      <c r="AD4" s="19">
        <v>6</v>
      </c>
      <c r="AE4" s="19">
        <v>7</v>
      </c>
      <c r="AF4" s="19">
        <v>8</v>
      </c>
      <c r="AG4" s="19">
        <v>9</v>
      </c>
      <c r="AH4" s="19" t="s">
        <v>141</v>
      </c>
      <c r="AI4" s="19" t="s">
        <v>142</v>
      </c>
      <c r="AJ4" s="19" t="s">
        <v>143</v>
      </c>
      <c r="AK4" s="19" t="s">
        <v>144</v>
      </c>
      <c r="AL4" s="19" t="s">
        <v>145</v>
      </c>
      <c r="AM4" s="19" t="s">
        <v>146</v>
      </c>
      <c r="AN4" s="7" t="s">
        <v>149</v>
      </c>
      <c r="AO4" s="7" t="s">
        <v>150</v>
      </c>
      <c r="AP4" s="7" t="s">
        <v>151</v>
      </c>
      <c r="AQ4" s="7"/>
      <c r="AR4" s="6" t="s">
        <v>395</v>
      </c>
      <c r="AS4" s="6"/>
      <c r="AT4" s="6"/>
      <c r="AU4" s="6"/>
    </row>
    <row r="5" spans="1:48" ht="12.75" customHeight="1">
      <c r="A5" s="11">
        <v>14356</v>
      </c>
      <c r="B5" s="2" t="s">
        <v>152</v>
      </c>
      <c r="C5" s="2" t="s">
        <v>153</v>
      </c>
      <c r="E5" s="18">
        <v>2</v>
      </c>
      <c r="F5" s="18">
        <v>0</v>
      </c>
      <c r="G5" s="18">
        <v>0</v>
      </c>
      <c r="H5" s="18">
        <v>0</v>
      </c>
      <c r="I5" s="18">
        <v>4</v>
      </c>
      <c r="J5" s="18">
        <v>1</v>
      </c>
      <c r="K5" s="18">
        <v>2</v>
      </c>
      <c r="L5" s="18">
        <v>2</v>
      </c>
      <c r="M5" s="18">
        <v>1</v>
      </c>
      <c r="T5" s="3">
        <v>12</v>
      </c>
      <c r="U5" s="3">
        <v>15</v>
      </c>
      <c r="V5" s="3">
        <v>3</v>
      </c>
      <c r="X5" s="2" t="s">
        <v>1922</v>
      </c>
      <c r="Y5" s="18">
        <v>0</v>
      </c>
      <c r="Z5" s="18">
        <v>1</v>
      </c>
      <c r="AA5" s="18">
        <v>1</v>
      </c>
      <c r="AB5" s="18">
        <v>0</v>
      </c>
      <c r="AC5" s="18">
        <v>1</v>
      </c>
      <c r="AD5" s="18">
        <v>0</v>
      </c>
      <c r="AE5" s="18">
        <v>0</v>
      </c>
      <c r="AF5" s="18">
        <v>0</v>
      </c>
      <c r="AG5" s="18">
        <v>3</v>
      </c>
      <c r="AN5" s="3">
        <v>6</v>
      </c>
      <c r="AO5" s="3">
        <v>6</v>
      </c>
      <c r="AP5" s="3">
        <v>6</v>
      </c>
      <c r="AR5" s="2" t="s">
        <v>1923</v>
      </c>
      <c r="AS5" s="2" t="s">
        <v>204</v>
      </c>
      <c r="AV5" s="2" t="b">
        <f>+T5&gt;AN5</f>
        <v>1</v>
      </c>
    </row>
    <row r="6" spans="1:46" ht="12.75" customHeight="1">
      <c r="A6" s="4">
        <v>14360</v>
      </c>
      <c r="C6" s="2" t="s">
        <v>154</v>
      </c>
      <c r="E6" s="18">
        <v>0</v>
      </c>
      <c r="F6" s="18">
        <v>1</v>
      </c>
      <c r="G6" s="18">
        <v>0</v>
      </c>
      <c r="H6" s="18">
        <v>1</v>
      </c>
      <c r="I6" s="18">
        <v>1</v>
      </c>
      <c r="J6" s="18">
        <v>0</v>
      </c>
      <c r="K6" s="18">
        <v>1</v>
      </c>
      <c r="T6" s="3">
        <v>4</v>
      </c>
      <c r="U6" s="3">
        <v>8</v>
      </c>
      <c r="V6" s="3">
        <v>3</v>
      </c>
      <c r="X6" s="2" t="s">
        <v>1924</v>
      </c>
      <c r="Y6" s="18">
        <v>1</v>
      </c>
      <c r="Z6" s="18">
        <v>0</v>
      </c>
      <c r="AA6" s="18">
        <v>0</v>
      </c>
      <c r="AB6" s="18">
        <v>0</v>
      </c>
      <c r="AC6" s="18">
        <v>1</v>
      </c>
      <c r="AD6" s="18">
        <v>0</v>
      </c>
      <c r="AE6" s="18">
        <v>1</v>
      </c>
      <c r="AN6" s="3">
        <v>3</v>
      </c>
      <c r="AO6" s="3">
        <v>7</v>
      </c>
      <c r="AP6" s="3">
        <v>0</v>
      </c>
      <c r="AR6" s="2" t="s">
        <v>1925</v>
      </c>
      <c r="AS6" s="2" t="s">
        <v>155</v>
      </c>
      <c r="AT6" s="2" t="s">
        <v>156</v>
      </c>
    </row>
    <row r="7" spans="1:44" ht="12.75" customHeight="1">
      <c r="A7" s="4">
        <v>14363</v>
      </c>
      <c r="B7" s="2" t="s">
        <v>152</v>
      </c>
      <c r="C7" s="2" t="s">
        <v>157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T7" s="3">
        <v>1</v>
      </c>
      <c r="U7" s="3">
        <v>3</v>
      </c>
      <c r="V7" s="3">
        <v>4</v>
      </c>
      <c r="X7" s="2" t="s">
        <v>1926</v>
      </c>
      <c r="Y7" s="18">
        <v>0</v>
      </c>
      <c r="Z7" s="18">
        <v>1</v>
      </c>
      <c r="AA7" s="18">
        <v>0</v>
      </c>
      <c r="AB7" s="18">
        <v>2</v>
      </c>
      <c r="AC7" s="18">
        <v>0</v>
      </c>
      <c r="AD7" s="18">
        <v>0</v>
      </c>
      <c r="AE7" s="18">
        <v>1</v>
      </c>
      <c r="AF7" s="18">
        <v>1</v>
      </c>
      <c r="AG7" s="18" t="s">
        <v>158</v>
      </c>
      <c r="AN7" s="3">
        <v>5</v>
      </c>
      <c r="AO7" s="3">
        <v>7</v>
      </c>
      <c r="AP7" s="3">
        <v>1</v>
      </c>
      <c r="AR7" s="2" t="s">
        <v>159</v>
      </c>
    </row>
    <row r="8" spans="1:44" ht="12.75" customHeight="1">
      <c r="A8" s="4">
        <v>14366</v>
      </c>
      <c r="B8" s="2" t="s">
        <v>152</v>
      </c>
      <c r="C8" s="2" t="s">
        <v>160</v>
      </c>
      <c r="T8" s="3">
        <v>5</v>
      </c>
      <c r="U8" s="3" t="s">
        <v>162</v>
      </c>
      <c r="V8" s="3" t="s">
        <v>162</v>
      </c>
      <c r="X8" s="2" t="s">
        <v>27</v>
      </c>
      <c r="AN8" s="3">
        <v>10</v>
      </c>
      <c r="AO8" s="3" t="s">
        <v>162</v>
      </c>
      <c r="AP8" s="3" t="s">
        <v>162</v>
      </c>
      <c r="AR8" s="2" t="s">
        <v>27</v>
      </c>
    </row>
    <row r="9" spans="1:44" ht="12.75" customHeight="1">
      <c r="A9" s="4">
        <v>14370</v>
      </c>
      <c r="B9" s="2" t="s">
        <v>152</v>
      </c>
      <c r="C9" s="2" t="s">
        <v>161</v>
      </c>
      <c r="T9" s="3">
        <v>18</v>
      </c>
      <c r="U9" s="3" t="s">
        <v>162</v>
      </c>
      <c r="V9" s="3" t="s">
        <v>162</v>
      </c>
      <c r="X9" s="2" t="s">
        <v>27</v>
      </c>
      <c r="AN9" s="3">
        <v>10</v>
      </c>
      <c r="AO9" s="3" t="s">
        <v>162</v>
      </c>
      <c r="AP9" s="3" t="s">
        <v>162</v>
      </c>
      <c r="AR9" s="2" t="s">
        <v>27</v>
      </c>
    </row>
    <row r="10" spans="1:44" ht="12.75" customHeight="1">
      <c r="A10" s="4">
        <v>14374</v>
      </c>
      <c r="C10" s="2" t="s">
        <v>153</v>
      </c>
      <c r="E10" s="18">
        <v>0</v>
      </c>
      <c r="F10" s="18">
        <v>1</v>
      </c>
      <c r="G10" s="18">
        <v>0</v>
      </c>
      <c r="H10" s="18">
        <v>0</v>
      </c>
      <c r="I10" s="18">
        <v>3</v>
      </c>
      <c r="J10" s="18">
        <v>0</v>
      </c>
      <c r="K10" s="18">
        <v>0</v>
      </c>
      <c r="L10" s="18">
        <v>0</v>
      </c>
      <c r="M10" s="18" t="s">
        <v>162</v>
      </c>
      <c r="T10" s="3">
        <v>4</v>
      </c>
      <c r="U10" s="3">
        <v>7</v>
      </c>
      <c r="V10" s="3">
        <v>4</v>
      </c>
      <c r="X10" s="2" t="s">
        <v>1922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1</v>
      </c>
      <c r="AF10" s="18">
        <v>0</v>
      </c>
      <c r="AG10" s="18">
        <v>1</v>
      </c>
      <c r="AN10" s="3">
        <v>2</v>
      </c>
      <c r="AO10" s="3">
        <v>4</v>
      </c>
      <c r="AP10" s="3">
        <v>2</v>
      </c>
      <c r="AR10" s="2" t="s">
        <v>1927</v>
      </c>
    </row>
    <row r="11" spans="1:44" ht="12.75" customHeight="1">
      <c r="A11" s="4" t="s">
        <v>163</v>
      </c>
      <c r="B11" s="2" t="s">
        <v>152</v>
      </c>
      <c r="C11" s="2" t="s">
        <v>154</v>
      </c>
      <c r="T11" s="3">
        <v>12</v>
      </c>
      <c r="U11" s="3" t="s">
        <v>162</v>
      </c>
      <c r="V11" s="3" t="s">
        <v>162</v>
      </c>
      <c r="X11" s="2" t="s">
        <v>27</v>
      </c>
      <c r="AN11" s="3">
        <v>13</v>
      </c>
      <c r="AO11" s="3" t="s">
        <v>162</v>
      </c>
      <c r="AP11" s="3" t="s">
        <v>162</v>
      </c>
      <c r="AR11" s="2" t="s">
        <v>27</v>
      </c>
    </row>
    <row r="12" spans="1:44" ht="12.75" customHeight="1">
      <c r="A12" s="4" t="s">
        <v>163</v>
      </c>
      <c r="C12" s="2" t="s">
        <v>157</v>
      </c>
      <c r="T12" s="3">
        <v>1</v>
      </c>
      <c r="U12" s="3" t="s">
        <v>162</v>
      </c>
      <c r="V12" s="3" t="s">
        <v>162</v>
      </c>
      <c r="X12" s="2" t="s">
        <v>27</v>
      </c>
      <c r="AN12" s="3">
        <v>6</v>
      </c>
      <c r="AO12" s="3" t="s">
        <v>162</v>
      </c>
      <c r="AP12" s="3" t="s">
        <v>162</v>
      </c>
      <c r="AR12" s="2" t="s">
        <v>27</v>
      </c>
    </row>
    <row r="13" spans="1:44" ht="12.75" customHeight="1">
      <c r="A13" s="4">
        <v>14382</v>
      </c>
      <c r="C13" s="2" t="s">
        <v>161</v>
      </c>
      <c r="E13" s="18">
        <v>2</v>
      </c>
      <c r="F13" s="18">
        <v>3</v>
      </c>
      <c r="G13" s="18">
        <v>0</v>
      </c>
      <c r="H13" s="18">
        <v>1</v>
      </c>
      <c r="I13" s="18">
        <v>3</v>
      </c>
      <c r="J13" s="18">
        <v>0</v>
      </c>
      <c r="K13" s="18">
        <v>5</v>
      </c>
      <c r="L13" s="18">
        <v>0</v>
      </c>
      <c r="M13" s="18" t="s">
        <v>162</v>
      </c>
      <c r="T13" s="3">
        <v>14</v>
      </c>
      <c r="U13" s="3">
        <v>12</v>
      </c>
      <c r="V13" s="3">
        <v>0</v>
      </c>
      <c r="X13" s="2" t="s">
        <v>1924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1</v>
      </c>
      <c r="AN13" s="3">
        <v>1</v>
      </c>
      <c r="AO13" s="3">
        <v>8</v>
      </c>
      <c r="AP13" s="3">
        <v>4</v>
      </c>
      <c r="AR13" s="2" t="s">
        <v>1928</v>
      </c>
    </row>
    <row r="14" spans="1:44" ht="12.75" customHeight="1">
      <c r="A14" s="4">
        <v>14384</v>
      </c>
      <c r="C14" s="2" t="s">
        <v>160</v>
      </c>
      <c r="E14" s="18">
        <v>2</v>
      </c>
      <c r="F14" s="18">
        <v>0</v>
      </c>
      <c r="G14" s="18">
        <v>1</v>
      </c>
      <c r="H14" s="18">
        <v>2</v>
      </c>
      <c r="I14" s="18">
        <v>1</v>
      </c>
      <c r="J14" s="18">
        <v>7</v>
      </c>
      <c r="K14" s="18">
        <v>6</v>
      </c>
      <c r="L14" s="18">
        <v>4</v>
      </c>
      <c r="T14" s="3">
        <v>23</v>
      </c>
      <c r="U14" s="3">
        <v>25</v>
      </c>
      <c r="V14" s="3">
        <v>0</v>
      </c>
      <c r="X14" s="2" t="s">
        <v>1922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N14" s="3">
        <v>0</v>
      </c>
      <c r="AO14" s="3">
        <v>6</v>
      </c>
      <c r="AP14" s="3">
        <v>0</v>
      </c>
      <c r="AR14" s="2" t="s">
        <v>1929</v>
      </c>
    </row>
    <row r="15" ht="12.75" customHeight="1">
      <c r="A15" s="4"/>
    </row>
    <row r="16" spans="1:45" ht="12.75" customHeight="1">
      <c r="A16" s="4" t="s">
        <v>164</v>
      </c>
      <c r="C16" s="2" t="s">
        <v>165</v>
      </c>
      <c r="T16" s="3">
        <v>3</v>
      </c>
      <c r="U16" s="3" t="s">
        <v>162</v>
      </c>
      <c r="V16" s="3" t="s">
        <v>162</v>
      </c>
      <c r="X16" s="2" t="s">
        <v>27</v>
      </c>
      <c r="AN16" s="3">
        <v>0</v>
      </c>
      <c r="AO16" s="3" t="s">
        <v>162</v>
      </c>
      <c r="AP16" s="3" t="s">
        <v>162</v>
      </c>
      <c r="AR16" s="2" t="s">
        <v>27</v>
      </c>
      <c r="AS16" s="2" t="s">
        <v>204</v>
      </c>
    </row>
    <row r="17" spans="1:46" ht="12.75" customHeight="1">
      <c r="A17" s="4">
        <v>14728</v>
      </c>
      <c r="C17" s="2" t="s">
        <v>154</v>
      </c>
      <c r="E17" s="18">
        <v>2</v>
      </c>
      <c r="F17" s="18">
        <v>6</v>
      </c>
      <c r="G17" s="18">
        <v>4</v>
      </c>
      <c r="H17" s="18">
        <v>5</v>
      </c>
      <c r="I17" s="18">
        <v>1</v>
      </c>
      <c r="J17" s="18" t="s">
        <v>162</v>
      </c>
      <c r="T17" s="3">
        <v>18</v>
      </c>
      <c r="U17" s="3">
        <v>9</v>
      </c>
      <c r="V17" s="3">
        <v>0</v>
      </c>
      <c r="X17" s="2" t="s">
        <v>53</v>
      </c>
      <c r="Y17" s="18">
        <v>10</v>
      </c>
      <c r="Z17" s="18">
        <v>0</v>
      </c>
      <c r="AA17" s="18">
        <v>0</v>
      </c>
      <c r="AB17" s="18">
        <v>2</v>
      </c>
      <c r="AC17" s="18">
        <v>0</v>
      </c>
      <c r="AD17" s="18">
        <v>0</v>
      </c>
      <c r="AN17" s="3">
        <v>4</v>
      </c>
      <c r="AO17" s="3">
        <v>7</v>
      </c>
      <c r="AP17" s="3">
        <v>0</v>
      </c>
      <c r="AR17" s="2" t="s">
        <v>30</v>
      </c>
      <c r="AS17" s="2" t="s">
        <v>166</v>
      </c>
      <c r="AT17" s="2" t="s">
        <v>167</v>
      </c>
    </row>
    <row r="18" spans="1:45" ht="12.75" customHeight="1">
      <c r="A18" s="4">
        <v>14732</v>
      </c>
      <c r="B18" s="2" t="s">
        <v>152</v>
      </c>
      <c r="C18" s="2" t="s">
        <v>168</v>
      </c>
      <c r="E18" s="18">
        <v>0</v>
      </c>
      <c r="F18" s="18">
        <v>0</v>
      </c>
      <c r="G18" s="18">
        <v>0</v>
      </c>
      <c r="H18" s="18">
        <v>1</v>
      </c>
      <c r="I18" s="18">
        <v>2</v>
      </c>
      <c r="J18" s="18">
        <v>2</v>
      </c>
      <c r="K18" s="18">
        <v>0</v>
      </c>
      <c r="L18" s="18">
        <v>0</v>
      </c>
      <c r="M18" s="18">
        <v>2</v>
      </c>
      <c r="N18" s="18">
        <v>2</v>
      </c>
      <c r="T18" s="3">
        <v>9</v>
      </c>
      <c r="U18" s="3">
        <v>10</v>
      </c>
      <c r="V18" s="3">
        <v>0</v>
      </c>
      <c r="X18" s="2" t="s">
        <v>56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1</v>
      </c>
      <c r="AG18" s="18">
        <v>0</v>
      </c>
      <c r="AN18" s="3">
        <v>1</v>
      </c>
      <c r="AO18" s="3">
        <v>2</v>
      </c>
      <c r="AP18" s="3">
        <v>0</v>
      </c>
      <c r="AR18" s="2" t="s">
        <v>31</v>
      </c>
      <c r="AS18" s="2" t="s">
        <v>396</v>
      </c>
    </row>
    <row r="19" spans="1:45" ht="12.75" customHeight="1">
      <c r="A19" s="4">
        <v>14738</v>
      </c>
      <c r="B19" s="2" t="s">
        <v>152</v>
      </c>
      <c r="C19" s="2" t="s">
        <v>153</v>
      </c>
      <c r="E19" s="18">
        <v>2</v>
      </c>
      <c r="F19" s="18">
        <v>4</v>
      </c>
      <c r="G19" s="18">
        <v>0</v>
      </c>
      <c r="H19" s="18">
        <v>1</v>
      </c>
      <c r="I19" s="18">
        <v>0</v>
      </c>
      <c r="J19" s="18">
        <v>0</v>
      </c>
      <c r="K19" s="18">
        <v>3</v>
      </c>
      <c r="L19" s="18">
        <v>3</v>
      </c>
      <c r="M19" s="18">
        <v>0</v>
      </c>
      <c r="T19" s="3">
        <v>13</v>
      </c>
      <c r="U19" s="3">
        <v>15</v>
      </c>
      <c r="V19" s="3">
        <v>2</v>
      </c>
      <c r="X19" s="2" t="s">
        <v>59</v>
      </c>
      <c r="Y19" s="18">
        <v>1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N19" s="3">
        <v>1</v>
      </c>
      <c r="AO19" s="3">
        <v>4</v>
      </c>
      <c r="AP19" s="3">
        <v>3</v>
      </c>
      <c r="AR19" s="2" t="s">
        <v>32</v>
      </c>
      <c r="AS19" s="2" t="s">
        <v>397</v>
      </c>
    </row>
    <row r="20" spans="1:44" ht="12.75" customHeight="1">
      <c r="A20" s="4">
        <v>14739</v>
      </c>
      <c r="B20" s="2" t="s">
        <v>152</v>
      </c>
      <c r="C20" s="2" t="s">
        <v>169</v>
      </c>
      <c r="E20" s="18">
        <v>2</v>
      </c>
      <c r="F20" s="18">
        <v>0</v>
      </c>
      <c r="G20" s="18">
        <v>4</v>
      </c>
      <c r="H20" s="18">
        <v>0</v>
      </c>
      <c r="I20" s="18">
        <v>1</v>
      </c>
      <c r="J20" s="18">
        <v>0</v>
      </c>
      <c r="K20" s="18">
        <v>5</v>
      </c>
      <c r="L20" s="18">
        <v>7</v>
      </c>
      <c r="M20" s="18" t="s">
        <v>162</v>
      </c>
      <c r="T20" s="3">
        <v>19</v>
      </c>
      <c r="U20" s="3">
        <v>3</v>
      </c>
      <c r="V20" s="3">
        <v>0</v>
      </c>
      <c r="X20" s="2" t="s">
        <v>56</v>
      </c>
      <c r="Y20" s="18">
        <v>0</v>
      </c>
      <c r="Z20" s="18">
        <v>0</v>
      </c>
      <c r="AA20" s="18">
        <v>0</v>
      </c>
      <c r="AB20" s="18">
        <v>0</v>
      </c>
      <c r="AC20" s="18">
        <v>2</v>
      </c>
      <c r="AD20" s="18">
        <v>0</v>
      </c>
      <c r="AE20" s="18">
        <v>1</v>
      </c>
      <c r="AF20" s="18">
        <v>0</v>
      </c>
      <c r="AG20" s="18">
        <v>0</v>
      </c>
      <c r="AN20" s="3">
        <v>3</v>
      </c>
      <c r="AO20" s="3">
        <v>3</v>
      </c>
      <c r="AP20" s="3">
        <v>0</v>
      </c>
      <c r="AR20" s="2" t="s">
        <v>33</v>
      </c>
    </row>
    <row r="21" spans="1:44" ht="12.75" customHeight="1">
      <c r="A21" s="4">
        <v>14742</v>
      </c>
      <c r="C21" s="2" t="s">
        <v>153</v>
      </c>
      <c r="E21" s="18">
        <v>0</v>
      </c>
      <c r="F21" s="18">
        <v>0</v>
      </c>
      <c r="G21" s="18">
        <v>0</v>
      </c>
      <c r="H21" s="18">
        <v>0</v>
      </c>
      <c r="I21" s="18">
        <v>5</v>
      </c>
      <c r="J21" s="18">
        <v>4</v>
      </c>
      <c r="K21" s="18">
        <v>0</v>
      </c>
      <c r="L21" s="18">
        <v>0</v>
      </c>
      <c r="M21" s="18" t="s">
        <v>162</v>
      </c>
      <c r="T21" s="3">
        <v>9</v>
      </c>
      <c r="U21" s="3">
        <v>8</v>
      </c>
      <c r="V21" s="3">
        <v>0</v>
      </c>
      <c r="X21" s="2" t="s">
        <v>54</v>
      </c>
      <c r="Y21" s="18">
        <v>0</v>
      </c>
      <c r="Z21" s="18">
        <v>0</v>
      </c>
      <c r="AA21" s="18">
        <v>0</v>
      </c>
      <c r="AB21" s="18">
        <v>0</v>
      </c>
      <c r="AC21" s="18">
        <v>2</v>
      </c>
      <c r="AD21" s="18">
        <v>0</v>
      </c>
      <c r="AE21" s="18">
        <v>0</v>
      </c>
      <c r="AF21" s="18">
        <v>0</v>
      </c>
      <c r="AG21" s="18">
        <v>0</v>
      </c>
      <c r="AN21" s="3">
        <v>2</v>
      </c>
      <c r="AO21" s="3">
        <v>6</v>
      </c>
      <c r="AP21" s="3">
        <v>0</v>
      </c>
      <c r="AR21" s="2" t="s">
        <v>34</v>
      </c>
    </row>
    <row r="22" spans="1:44" ht="12.75" customHeight="1">
      <c r="A22" s="4">
        <v>14744</v>
      </c>
      <c r="B22" s="2" t="s">
        <v>152</v>
      </c>
      <c r="C22" s="2" t="s">
        <v>169</v>
      </c>
      <c r="E22" s="18">
        <v>0</v>
      </c>
      <c r="F22" s="18">
        <v>0</v>
      </c>
      <c r="G22" s="18">
        <v>3</v>
      </c>
      <c r="H22" s="18">
        <v>0</v>
      </c>
      <c r="I22" s="18">
        <v>0</v>
      </c>
      <c r="J22" s="18">
        <v>4</v>
      </c>
      <c r="K22" s="18">
        <v>0</v>
      </c>
      <c r="L22" s="18">
        <v>2</v>
      </c>
      <c r="M22" s="18">
        <v>4</v>
      </c>
      <c r="T22" s="3">
        <v>13</v>
      </c>
      <c r="U22" s="3">
        <v>15</v>
      </c>
      <c r="V22" s="3">
        <v>0</v>
      </c>
      <c r="X22" s="2" t="s">
        <v>59</v>
      </c>
      <c r="Y22" s="18">
        <v>3</v>
      </c>
      <c r="Z22" s="18">
        <v>0</v>
      </c>
      <c r="AA22" s="18">
        <v>0</v>
      </c>
      <c r="AB22" s="18">
        <v>0</v>
      </c>
      <c r="AC22" s="18">
        <v>1</v>
      </c>
      <c r="AD22" s="18">
        <v>0</v>
      </c>
      <c r="AE22" s="18">
        <v>0</v>
      </c>
      <c r="AF22" s="18">
        <v>0</v>
      </c>
      <c r="AG22" s="18">
        <v>0</v>
      </c>
      <c r="AN22" s="3">
        <v>4</v>
      </c>
      <c r="AO22" s="3">
        <v>4</v>
      </c>
      <c r="AP22" s="3">
        <v>0</v>
      </c>
      <c r="AR22" s="2" t="s">
        <v>35</v>
      </c>
    </row>
    <row r="23" spans="1:44" ht="12.75" customHeight="1">
      <c r="A23" s="4">
        <v>14745</v>
      </c>
      <c r="B23" s="2" t="s">
        <v>152</v>
      </c>
      <c r="C23" s="2" t="s">
        <v>157</v>
      </c>
      <c r="E23" s="18">
        <v>5</v>
      </c>
      <c r="F23" s="18">
        <v>0</v>
      </c>
      <c r="G23" s="18">
        <v>3</v>
      </c>
      <c r="H23" s="18">
        <v>1</v>
      </c>
      <c r="I23" s="18">
        <v>2</v>
      </c>
      <c r="J23" s="18">
        <v>8</v>
      </c>
      <c r="K23" s="18">
        <v>5</v>
      </c>
      <c r="T23" s="3">
        <v>24</v>
      </c>
      <c r="U23" s="3">
        <v>15</v>
      </c>
      <c r="V23" s="3">
        <v>0</v>
      </c>
      <c r="X23" s="2" t="s">
        <v>55</v>
      </c>
      <c r="Y23" s="18">
        <v>1</v>
      </c>
      <c r="Z23" s="18">
        <v>0</v>
      </c>
      <c r="AA23" s="18">
        <v>0</v>
      </c>
      <c r="AB23" s="18">
        <v>1</v>
      </c>
      <c r="AC23" s="18">
        <v>2</v>
      </c>
      <c r="AD23" s="18">
        <v>0</v>
      </c>
      <c r="AE23" s="18">
        <v>0</v>
      </c>
      <c r="AN23" s="3">
        <v>4</v>
      </c>
      <c r="AO23" s="3">
        <v>4</v>
      </c>
      <c r="AP23" s="3">
        <v>0</v>
      </c>
      <c r="AR23" s="2" t="s">
        <v>36</v>
      </c>
    </row>
    <row r="24" spans="1:44" ht="12.75" customHeight="1">
      <c r="A24" s="4">
        <v>14746</v>
      </c>
      <c r="B24" s="2" t="s">
        <v>152</v>
      </c>
      <c r="C24" s="2" t="s">
        <v>154</v>
      </c>
      <c r="E24" s="18">
        <v>1</v>
      </c>
      <c r="F24" s="18">
        <v>0</v>
      </c>
      <c r="G24" s="18">
        <v>1</v>
      </c>
      <c r="H24" s="18">
        <v>2</v>
      </c>
      <c r="I24" s="18">
        <v>2</v>
      </c>
      <c r="J24" s="18">
        <v>4</v>
      </c>
      <c r="K24" s="18">
        <v>1</v>
      </c>
      <c r="T24" s="3">
        <v>11</v>
      </c>
      <c r="U24" s="3">
        <v>11</v>
      </c>
      <c r="V24" s="3">
        <v>0</v>
      </c>
      <c r="X24" s="2" t="s">
        <v>60</v>
      </c>
      <c r="Y24" s="18">
        <v>0</v>
      </c>
      <c r="Z24" s="18">
        <v>0</v>
      </c>
      <c r="AA24" s="18">
        <v>2</v>
      </c>
      <c r="AB24" s="18">
        <v>0</v>
      </c>
      <c r="AC24" s="18">
        <v>3</v>
      </c>
      <c r="AD24" s="18">
        <v>0</v>
      </c>
      <c r="AE24" s="18">
        <v>3</v>
      </c>
      <c r="AN24" s="3">
        <v>8</v>
      </c>
      <c r="AO24" s="3">
        <v>11</v>
      </c>
      <c r="AP24" s="3">
        <v>0</v>
      </c>
      <c r="AR24" s="2" t="s">
        <v>30</v>
      </c>
    </row>
    <row r="25" spans="1:44" ht="12.75" customHeight="1">
      <c r="A25" s="4">
        <v>14747</v>
      </c>
      <c r="C25" s="2" t="s">
        <v>170</v>
      </c>
      <c r="E25" s="18">
        <v>0</v>
      </c>
      <c r="F25" s="18">
        <v>0</v>
      </c>
      <c r="G25" s="18">
        <v>0</v>
      </c>
      <c r="H25" s="18">
        <v>6</v>
      </c>
      <c r="I25" s="18">
        <v>1</v>
      </c>
      <c r="J25" s="18">
        <v>0</v>
      </c>
      <c r="K25" s="18" t="s">
        <v>162</v>
      </c>
      <c r="T25" s="3">
        <v>7</v>
      </c>
      <c r="U25" s="3">
        <v>4</v>
      </c>
      <c r="V25" s="3">
        <v>1</v>
      </c>
      <c r="X25" s="2" t="s">
        <v>57</v>
      </c>
      <c r="Y25" s="18">
        <v>0</v>
      </c>
      <c r="Z25" s="18">
        <v>0</v>
      </c>
      <c r="AA25" s="18">
        <v>0</v>
      </c>
      <c r="AB25" s="18">
        <v>0</v>
      </c>
      <c r="AC25" s="18">
        <v>1</v>
      </c>
      <c r="AD25" s="18">
        <v>0</v>
      </c>
      <c r="AE25" s="18">
        <v>1</v>
      </c>
      <c r="AN25" s="3">
        <v>2</v>
      </c>
      <c r="AO25" s="3">
        <v>8</v>
      </c>
      <c r="AP25" s="3">
        <v>1</v>
      </c>
      <c r="AR25" s="2" t="s">
        <v>37</v>
      </c>
    </row>
    <row r="26" spans="1:44" ht="12.75" customHeight="1">
      <c r="A26" s="4">
        <v>14749</v>
      </c>
      <c r="C26" s="2" t="s">
        <v>157</v>
      </c>
      <c r="E26" s="18">
        <v>3</v>
      </c>
      <c r="F26" s="18">
        <v>5</v>
      </c>
      <c r="G26" s="18">
        <v>1</v>
      </c>
      <c r="H26" s="18">
        <v>1</v>
      </c>
      <c r="I26" s="18">
        <v>0</v>
      </c>
      <c r="J26" s="18">
        <v>3</v>
      </c>
      <c r="K26" s="18" t="s">
        <v>162</v>
      </c>
      <c r="T26" s="3">
        <v>13</v>
      </c>
      <c r="U26" s="3">
        <v>12</v>
      </c>
      <c r="V26" s="3">
        <v>0</v>
      </c>
      <c r="X26" s="2" t="s">
        <v>1745</v>
      </c>
      <c r="Y26" s="18">
        <v>0</v>
      </c>
      <c r="Z26" s="18">
        <v>0</v>
      </c>
      <c r="AA26" s="18">
        <v>0</v>
      </c>
      <c r="AB26" s="18">
        <v>3</v>
      </c>
      <c r="AC26" s="18">
        <v>0</v>
      </c>
      <c r="AD26" s="18">
        <v>0</v>
      </c>
      <c r="AE26" s="18">
        <v>0</v>
      </c>
      <c r="AN26" s="3">
        <v>3</v>
      </c>
      <c r="AO26" s="3">
        <v>6</v>
      </c>
      <c r="AP26" s="3">
        <v>0</v>
      </c>
      <c r="AR26" s="2" t="s">
        <v>38</v>
      </c>
    </row>
    <row r="27" spans="1:44" ht="12.75" customHeight="1">
      <c r="A27" s="4">
        <v>14752</v>
      </c>
      <c r="B27" s="2" t="s">
        <v>152</v>
      </c>
      <c r="C27" s="2" t="s">
        <v>367</v>
      </c>
      <c r="E27" s="18">
        <v>10</v>
      </c>
      <c r="F27" s="18">
        <v>1</v>
      </c>
      <c r="G27" s="18">
        <v>0</v>
      </c>
      <c r="H27" s="18">
        <v>0</v>
      </c>
      <c r="I27" s="18">
        <v>5</v>
      </c>
      <c r="J27" s="18">
        <v>2</v>
      </c>
      <c r="K27" s="18">
        <v>4</v>
      </c>
      <c r="T27" s="3">
        <v>22</v>
      </c>
      <c r="U27" s="3">
        <v>15</v>
      </c>
      <c r="V27" s="3">
        <v>0</v>
      </c>
      <c r="X27" s="2" t="s">
        <v>60</v>
      </c>
      <c r="Y27" s="18">
        <v>0</v>
      </c>
      <c r="Z27" s="18">
        <v>0</v>
      </c>
      <c r="AA27" s="18">
        <v>0</v>
      </c>
      <c r="AB27" s="18">
        <v>5</v>
      </c>
      <c r="AC27" s="18">
        <v>0</v>
      </c>
      <c r="AD27" s="18">
        <v>0</v>
      </c>
      <c r="AE27" s="18">
        <v>0</v>
      </c>
      <c r="AN27" s="3">
        <v>5</v>
      </c>
      <c r="AO27" s="3">
        <v>4</v>
      </c>
      <c r="AP27" s="3">
        <v>0</v>
      </c>
      <c r="AR27" s="2" t="s">
        <v>39</v>
      </c>
    </row>
    <row r="28" spans="1:44" ht="12.75" customHeight="1">
      <c r="A28" s="4">
        <v>14753</v>
      </c>
      <c r="C28" s="2" t="s">
        <v>160</v>
      </c>
      <c r="E28" s="18">
        <v>4</v>
      </c>
      <c r="F28" s="18">
        <v>2</v>
      </c>
      <c r="G28" s="18">
        <v>0</v>
      </c>
      <c r="H28" s="18">
        <v>5</v>
      </c>
      <c r="I28" s="18" t="s">
        <v>162</v>
      </c>
      <c r="T28" s="3">
        <v>11</v>
      </c>
      <c r="U28" s="3">
        <v>7</v>
      </c>
      <c r="V28" s="3">
        <v>0</v>
      </c>
      <c r="X28" s="2" t="s">
        <v>1744</v>
      </c>
      <c r="Y28" s="18">
        <v>0</v>
      </c>
      <c r="Z28" s="18">
        <v>0</v>
      </c>
      <c r="AA28" s="18">
        <v>0</v>
      </c>
      <c r="AB28" s="18">
        <v>0</v>
      </c>
      <c r="AC28" s="18">
        <v>1</v>
      </c>
      <c r="AN28" s="3">
        <v>1</v>
      </c>
      <c r="AO28" s="3">
        <v>3</v>
      </c>
      <c r="AP28" s="3">
        <v>0</v>
      </c>
      <c r="AR28" s="2" t="s">
        <v>40</v>
      </c>
    </row>
    <row r="29" spans="1:44" ht="12.75" customHeight="1">
      <c r="A29" s="4">
        <v>14753</v>
      </c>
      <c r="C29" s="2" t="s">
        <v>160</v>
      </c>
      <c r="E29" s="18">
        <v>2</v>
      </c>
      <c r="F29" s="18">
        <v>0</v>
      </c>
      <c r="G29" s="18">
        <v>0</v>
      </c>
      <c r="H29" s="18">
        <v>5</v>
      </c>
      <c r="I29" s="18" t="s">
        <v>162</v>
      </c>
      <c r="T29" s="3">
        <v>7</v>
      </c>
      <c r="U29" s="3">
        <v>3</v>
      </c>
      <c r="V29" s="3">
        <v>0</v>
      </c>
      <c r="X29" s="2" t="s">
        <v>1744</v>
      </c>
      <c r="Y29" s="18">
        <v>0</v>
      </c>
      <c r="Z29" s="18">
        <v>0</v>
      </c>
      <c r="AA29" s="18">
        <v>1</v>
      </c>
      <c r="AB29" s="18">
        <v>2</v>
      </c>
      <c r="AC29" s="18">
        <v>0</v>
      </c>
      <c r="AN29" s="3">
        <v>3</v>
      </c>
      <c r="AO29" s="3">
        <v>6</v>
      </c>
      <c r="AP29" s="3">
        <v>0</v>
      </c>
      <c r="AR29" s="2" t="s">
        <v>41</v>
      </c>
    </row>
    <row r="30" spans="1:44" ht="12.75" customHeight="1">
      <c r="A30" s="4">
        <v>14754</v>
      </c>
      <c r="B30" s="2" t="s">
        <v>152</v>
      </c>
      <c r="C30" s="2" t="s">
        <v>170</v>
      </c>
      <c r="E30" s="18">
        <v>0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1</v>
      </c>
      <c r="L30" s="18">
        <v>4</v>
      </c>
      <c r="M30" s="18">
        <v>0</v>
      </c>
      <c r="T30" s="3">
        <v>6</v>
      </c>
      <c r="U30" s="3">
        <v>13</v>
      </c>
      <c r="V30" s="3">
        <v>5</v>
      </c>
      <c r="X30" s="2" t="s">
        <v>58</v>
      </c>
      <c r="Y30" s="18">
        <v>0</v>
      </c>
      <c r="Z30" s="18">
        <v>0</v>
      </c>
      <c r="AA30" s="18">
        <v>1</v>
      </c>
      <c r="AB30" s="18">
        <v>0</v>
      </c>
      <c r="AC30" s="18">
        <v>0</v>
      </c>
      <c r="AD30" s="18">
        <v>2</v>
      </c>
      <c r="AE30" s="18">
        <v>2</v>
      </c>
      <c r="AF30" s="18">
        <v>2</v>
      </c>
      <c r="AG30" s="18" t="s">
        <v>162</v>
      </c>
      <c r="AN30" s="3">
        <v>7</v>
      </c>
      <c r="AO30" s="3">
        <v>7</v>
      </c>
      <c r="AP30" s="3">
        <v>0</v>
      </c>
      <c r="AR30" s="2" t="s">
        <v>43</v>
      </c>
    </row>
    <row r="31" spans="1:44" ht="12.75" customHeight="1">
      <c r="A31" s="4">
        <v>14756</v>
      </c>
      <c r="C31" s="2" t="s">
        <v>165</v>
      </c>
      <c r="D31" s="2" t="s">
        <v>171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1</v>
      </c>
      <c r="K31" s="18">
        <v>0</v>
      </c>
      <c r="L31" s="18">
        <v>1</v>
      </c>
      <c r="M31" s="18" t="s">
        <v>162</v>
      </c>
      <c r="T31" s="3">
        <v>6</v>
      </c>
      <c r="U31" s="3">
        <v>5</v>
      </c>
      <c r="V31" s="3">
        <v>5</v>
      </c>
      <c r="X31" s="2" t="s">
        <v>59</v>
      </c>
      <c r="Y31" s="18">
        <v>1</v>
      </c>
      <c r="Z31" s="18">
        <v>0</v>
      </c>
      <c r="AA31" s="18">
        <v>0</v>
      </c>
      <c r="AB31" s="18">
        <v>0</v>
      </c>
      <c r="AC31" s="18">
        <v>0</v>
      </c>
      <c r="AD31" s="18">
        <v>2</v>
      </c>
      <c r="AE31" s="18">
        <v>0</v>
      </c>
      <c r="AF31" s="18">
        <v>0</v>
      </c>
      <c r="AG31" s="18">
        <v>2</v>
      </c>
      <c r="AN31" s="3">
        <v>5</v>
      </c>
      <c r="AO31" s="3">
        <v>8</v>
      </c>
      <c r="AP31" s="3">
        <v>1</v>
      </c>
      <c r="AR31" s="2" t="s">
        <v>42</v>
      </c>
    </row>
    <row r="32" spans="1:44" ht="12.75" customHeight="1">
      <c r="A32" s="4">
        <v>14760</v>
      </c>
      <c r="C32" s="2" t="s">
        <v>165</v>
      </c>
      <c r="D32" s="2" t="s">
        <v>171</v>
      </c>
      <c r="E32" s="18">
        <v>0</v>
      </c>
      <c r="F32" s="18">
        <v>0</v>
      </c>
      <c r="G32" s="18">
        <v>1</v>
      </c>
      <c r="H32" s="18">
        <v>0</v>
      </c>
      <c r="I32" s="18">
        <v>2</v>
      </c>
      <c r="J32" s="18">
        <v>0</v>
      </c>
      <c r="K32" s="18">
        <v>3</v>
      </c>
      <c r="L32" s="18">
        <v>0</v>
      </c>
      <c r="M32" s="18">
        <v>0</v>
      </c>
      <c r="T32" s="3">
        <v>6</v>
      </c>
      <c r="U32" s="3">
        <v>8</v>
      </c>
      <c r="V32" s="3">
        <v>3</v>
      </c>
      <c r="X32" s="2" t="s">
        <v>57</v>
      </c>
      <c r="Y32" s="18">
        <v>2</v>
      </c>
      <c r="Z32" s="18">
        <v>0</v>
      </c>
      <c r="AA32" s="18">
        <v>4</v>
      </c>
      <c r="AB32" s="18">
        <v>0</v>
      </c>
      <c r="AC32" s="18">
        <v>0</v>
      </c>
      <c r="AD32" s="18">
        <v>1</v>
      </c>
      <c r="AE32" s="18">
        <v>0</v>
      </c>
      <c r="AF32" s="18">
        <v>0</v>
      </c>
      <c r="AN32" s="3">
        <v>7</v>
      </c>
      <c r="AO32" s="3">
        <v>7</v>
      </c>
      <c r="AP32" s="3">
        <v>5</v>
      </c>
      <c r="AR32" s="2" t="s">
        <v>42</v>
      </c>
    </row>
    <row r="33" spans="1:44" ht="12.75" customHeight="1">
      <c r="A33" s="4">
        <v>14766</v>
      </c>
      <c r="C33" s="2" t="s">
        <v>165</v>
      </c>
      <c r="D33" s="2" t="s">
        <v>171</v>
      </c>
      <c r="E33" s="18">
        <v>1</v>
      </c>
      <c r="F33" s="18">
        <v>0</v>
      </c>
      <c r="G33" s="18">
        <v>0</v>
      </c>
      <c r="H33" s="18">
        <v>2</v>
      </c>
      <c r="I33" s="18">
        <v>3</v>
      </c>
      <c r="J33" s="18">
        <v>3</v>
      </c>
      <c r="K33" s="18">
        <v>0</v>
      </c>
      <c r="L33" s="18">
        <v>0</v>
      </c>
      <c r="M33" s="18" t="s">
        <v>162</v>
      </c>
      <c r="T33" s="3">
        <v>9</v>
      </c>
      <c r="U33" s="3">
        <v>12</v>
      </c>
      <c r="V33" s="3">
        <v>1</v>
      </c>
      <c r="X33" s="2" t="s">
        <v>59</v>
      </c>
      <c r="Y33" s="18">
        <v>0</v>
      </c>
      <c r="Z33" s="18">
        <v>0</v>
      </c>
      <c r="AA33" s="18">
        <v>0</v>
      </c>
      <c r="AB33" s="18">
        <v>0</v>
      </c>
      <c r="AC33" s="18">
        <v>1</v>
      </c>
      <c r="AD33" s="18">
        <v>0</v>
      </c>
      <c r="AE33" s="18">
        <v>0</v>
      </c>
      <c r="AF33" s="18">
        <v>0</v>
      </c>
      <c r="AG33" s="18">
        <v>0</v>
      </c>
      <c r="AN33" s="3">
        <v>1</v>
      </c>
      <c r="AO33" s="3">
        <v>7</v>
      </c>
      <c r="AP33" s="3">
        <v>2</v>
      </c>
      <c r="AR33" s="2" t="s">
        <v>42</v>
      </c>
    </row>
    <row r="34" ht="12.75" customHeight="1">
      <c r="A34" s="4"/>
    </row>
    <row r="35" spans="1:45" ht="12.75" customHeight="1">
      <c r="A35" s="4" t="s">
        <v>172</v>
      </c>
      <c r="C35" s="2" t="s">
        <v>157</v>
      </c>
      <c r="T35" s="3" t="s">
        <v>1990</v>
      </c>
      <c r="U35" s="3" t="s">
        <v>162</v>
      </c>
      <c r="V35" s="3" t="s">
        <v>162</v>
      </c>
      <c r="X35" s="2" t="s">
        <v>27</v>
      </c>
      <c r="AN35" s="3" t="s">
        <v>1991</v>
      </c>
      <c r="AO35" s="3" t="s">
        <v>162</v>
      </c>
      <c r="AP35" s="3" t="s">
        <v>162</v>
      </c>
      <c r="AR35" s="2" t="s">
        <v>27</v>
      </c>
      <c r="AS35" s="2" t="s">
        <v>398</v>
      </c>
    </row>
    <row r="36" spans="1:46" ht="12.75" customHeight="1">
      <c r="A36" s="4">
        <v>15085</v>
      </c>
      <c r="B36" s="2" t="s">
        <v>152</v>
      </c>
      <c r="C36" s="2" t="s">
        <v>169</v>
      </c>
      <c r="E36" s="18">
        <v>0</v>
      </c>
      <c r="F36" s="18">
        <v>1</v>
      </c>
      <c r="G36" s="18">
        <v>0</v>
      </c>
      <c r="H36" s="18">
        <v>3</v>
      </c>
      <c r="I36" s="18">
        <v>7</v>
      </c>
      <c r="J36" s="18">
        <v>1</v>
      </c>
      <c r="K36" s="18">
        <v>0</v>
      </c>
      <c r="T36" s="3">
        <v>12</v>
      </c>
      <c r="U36" s="3">
        <v>14</v>
      </c>
      <c r="V36" s="3" t="s">
        <v>162</v>
      </c>
      <c r="X36" s="2" t="s">
        <v>60</v>
      </c>
      <c r="Y36" s="18">
        <v>0</v>
      </c>
      <c r="Z36" s="18">
        <v>0</v>
      </c>
      <c r="AA36" s="18">
        <v>0</v>
      </c>
      <c r="AB36" s="18">
        <v>1</v>
      </c>
      <c r="AC36" s="18">
        <v>0</v>
      </c>
      <c r="AD36" s="18">
        <v>0</v>
      </c>
      <c r="AE36" s="18">
        <v>0</v>
      </c>
      <c r="AN36" s="3">
        <v>1</v>
      </c>
      <c r="AO36" s="3">
        <v>4</v>
      </c>
      <c r="AP36" s="3" t="s">
        <v>162</v>
      </c>
      <c r="AR36" s="2" t="s">
        <v>33</v>
      </c>
      <c r="AS36" s="2" t="s">
        <v>166</v>
      </c>
      <c r="AT36" s="2" t="s">
        <v>173</v>
      </c>
    </row>
    <row r="37" spans="1:45" ht="12.75" customHeight="1">
      <c r="A37" s="4">
        <v>15089</v>
      </c>
      <c r="B37" s="2" t="s">
        <v>152</v>
      </c>
      <c r="C37" s="2" t="s">
        <v>157</v>
      </c>
      <c r="E37" s="18">
        <v>2</v>
      </c>
      <c r="F37" s="18">
        <v>7</v>
      </c>
      <c r="G37" s="18">
        <v>0</v>
      </c>
      <c r="H37" s="18">
        <v>7</v>
      </c>
      <c r="I37" s="18">
        <v>8</v>
      </c>
      <c r="T37" s="3">
        <v>24</v>
      </c>
      <c r="U37" s="3">
        <v>18</v>
      </c>
      <c r="V37" s="3" t="s">
        <v>162</v>
      </c>
      <c r="X37" s="2" t="s">
        <v>1749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N37" s="3">
        <v>0</v>
      </c>
      <c r="AO37" s="3">
        <v>1</v>
      </c>
      <c r="AP37" s="3" t="s">
        <v>162</v>
      </c>
      <c r="AR37" s="2" t="s">
        <v>38</v>
      </c>
      <c r="AS37" s="2" t="s">
        <v>396</v>
      </c>
    </row>
    <row r="38" spans="1:45" ht="12.75" customHeight="1">
      <c r="A38" s="4">
        <v>15091</v>
      </c>
      <c r="B38" s="2" t="s">
        <v>152</v>
      </c>
      <c r="C38" s="2" t="s">
        <v>153</v>
      </c>
      <c r="E38" s="18">
        <v>1</v>
      </c>
      <c r="F38" s="18">
        <v>0</v>
      </c>
      <c r="G38" s="18">
        <v>2</v>
      </c>
      <c r="H38" s="18">
        <v>0</v>
      </c>
      <c r="I38" s="18">
        <v>1</v>
      </c>
      <c r="J38" s="18">
        <v>1</v>
      </c>
      <c r="K38" s="18">
        <v>3</v>
      </c>
      <c r="L38" s="18">
        <v>0</v>
      </c>
      <c r="M38" s="18">
        <v>3</v>
      </c>
      <c r="T38" s="3">
        <v>11</v>
      </c>
      <c r="U38" s="3">
        <v>13</v>
      </c>
      <c r="V38" s="3" t="s">
        <v>162</v>
      </c>
      <c r="X38" s="2" t="s">
        <v>59</v>
      </c>
      <c r="Y38" s="18">
        <v>0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1</v>
      </c>
      <c r="AN38" s="3">
        <v>2</v>
      </c>
      <c r="AO38" s="3">
        <v>8</v>
      </c>
      <c r="AP38" s="3" t="s">
        <v>162</v>
      </c>
      <c r="AR38" s="2" t="s">
        <v>44</v>
      </c>
      <c r="AS38" s="2" t="s">
        <v>397</v>
      </c>
    </row>
    <row r="39" spans="1:44" ht="12.75" customHeight="1">
      <c r="A39" s="4">
        <v>15096</v>
      </c>
      <c r="C39" s="2" t="s">
        <v>168</v>
      </c>
      <c r="E39" s="18">
        <v>0</v>
      </c>
      <c r="F39" s="18">
        <v>4</v>
      </c>
      <c r="G39" s="18">
        <v>0</v>
      </c>
      <c r="H39" s="18">
        <v>0</v>
      </c>
      <c r="I39" s="18">
        <v>2</v>
      </c>
      <c r="J39" s="18">
        <v>0</v>
      </c>
      <c r="K39" s="18">
        <v>4</v>
      </c>
      <c r="L39" s="18">
        <v>2</v>
      </c>
      <c r="M39" s="18" t="s">
        <v>162</v>
      </c>
      <c r="T39" s="3">
        <v>12</v>
      </c>
      <c r="U39" s="3">
        <v>20</v>
      </c>
      <c r="V39" s="3">
        <v>3</v>
      </c>
      <c r="X39" s="2" t="s">
        <v>1751</v>
      </c>
      <c r="Y39" s="18">
        <v>0</v>
      </c>
      <c r="Z39" s="18">
        <v>0</v>
      </c>
      <c r="AA39" s="18">
        <v>0</v>
      </c>
      <c r="AB39" s="18">
        <v>3</v>
      </c>
      <c r="AC39" s="18">
        <v>0</v>
      </c>
      <c r="AD39" s="18">
        <v>0</v>
      </c>
      <c r="AE39" s="18">
        <v>0</v>
      </c>
      <c r="AF39" s="18">
        <v>0</v>
      </c>
      <c r="AG39" s="18">
        <v>3</v>
      </c>
      <c r="AN39" s="3">
        <v>6</v>
      </c>
      <c r="AO39" s="3">
        <v>11</v>
      </c>
      <c r="AP39" s="3">
        <v>3</v>
      </c>
      <c r="AR39" s="2" t="s">
        <v>45</v>
      </c>
    </row>
    <row r="40" spans="1:44" ht="12.75" customHeight="1">
      <c r="A40" s="4">
        <v>15097</v>
      </c>
      <c r="B40" s="2" t="s">
        <v>152</v>
      </c>
      <c r="C40" s="2" t="s">
        <v>174</v>
      </c>
      <c r="E40" s="18">
        <v>0</v>
      </c>
      <c r="F40" s="18">
        <v>1</v>
      </c>
      <c r="G40" s="18">
        <v>0</v>
      </c>
      <c r="H40" s="18">
        <v>1</v>
      </c>
      <c r="I40" s="18">
        <v>1</v>
      </c>
      <c r="J40" s="18">
        <v>0</v>
      </c>
      <c r="K40" s="18">
        <v>0</v>
      </c>
      <c r="T40" s="3">
        <v>3</v>
      </c>
      <c r="U40" s="3" t="s">
        <v>162</v>
      </c>
      <c r="V40" s="3" t="s">
        <v>162</v>
      </c>
      <c r="X40" s="2" t="s">
        <v>1746</v>
      </c>
      <c r="Y40" s="18">
        <v>0</v>
      </c>
      <c r="Z40" s="18">
        <v>1</v>
      </c>
      <c r="AA40" s="18">
        <v>1</v>
      </c>
      <c r="AB40" s="18">
        <v>0</v>
      </c>
      <c r="AC40" s="18">
        <v>0</v>
      </c>
      <c r="AD40" s="18">
        <v>0</v>
      </c>
      <c r="AE40" s="18">
        <v>0</v>
      </c>
      <c r="AN40" s="3">
        <v>2</v>
      </c>
      <c r="AO40" s="3" t="s">
        <v>162</v>
      </c>
      <c r="AP40" s="3" t="s">
        <v>162</v>
      </c>
      <c r="AR40" s="2" t="s">
        <v>345</v>
      </c>
    </row>
    <row r="41" spans="1:44" ht="12.75" customHeight="1">
      <c r="A41" s="4">
        <v>15098</v>
      </c>
      <c r="C41" s="2" t="s">
        <v>154</v>
      </c>
      <c r="E41" s="18">
        <v>4</v>
      </c>
      <c r="F41" s="18">
        <v>1</v>
      </c>
      <c r="G41" s="18">
        <v>0</v>
      </c>
      <c r="H41" s="18">
        <v>5</v>
      </c>
      <c r="I41" s="18">
        <v>3</v>
      </c>
      <c r="J41" s="18">
        <v>0</v>
      </c>
      <c r="K41" s="18" t="s">
        <v>162</v>
      </c>
      <c r="T41" s="3">
        <v>13</v>
      </c>
      <c r="U41" s="3">
        <v>8</v>
      </c>
      <c r="V41" s="3">
        <v>2</v>
      </c>
      <c r="X41" s="2" t="s">
        <v>66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N41" s="3">
        <v>0</v>
      </c>
      <c r="AO41" s="3">
        <v>6</v>
      </c>
      <c r="AP41" s="3">
        <v>6</v>
      </c>
      <c r="AR41" s="2" t="s">
        <v>30</v>
      </c>
    </row>
    <row r="42" spans="1:44" ht="12.75" customHeight="1">
      <c r="A42" s="4">
        <v>15099</v>
      </c>
      <c r="C42" s="2" t="s">
        <v>327</v>
      </c>
      <c r="E42" s="18">
        <v>4</v>
      </c>
      <c r="F42" s="18">
        <v>4</v>
      </c>
      <c r="G42" s="18">
        <v>0</v>
      </c>
      <c r="H42" s="18">
        <v>0</v>
      </c>
      <c r="I42" s="18">
        <v>1</v>
      </c>
      <c r="J42" s="18">
        <v>2</v>
      </c>
      <c r="K42" s="18" t="s">
        <v>162</v>
      </c>
      <c r="T42" s="3">
        <v>11</v>
      </c>
      <c r="U42" s="3">
        <v>8</v>
      </c>
      <c r="V42" s="3">
        <v>1</v>
      </c>
      <c r="X42" s="2" t="s">
        <v>1750</v>
      </c>
      <c r="Y42" s="18">
        <v>0</v>
      </c>
      <c r="Z42" s="18">
        <v>0</v>
      </c>
      <c r="AA42" s="18">
        <v>0</v>
      </c>
      <c r="AB42" s="18">
        <v>1</v>
      </c>
      <c r="AC42" s="18">
        <v>0</v>
      </c>
      <c r="AD42" s="18">
        <v>1</v>
      </c>
      <c r="AE42" s="18">
        <v>1</v>
      </c>
      <c r="AN42" s="3">
        <v>3</v>
      </c>
      <c r="AO42" s="3">
        <v>7</v>
      </c>
      <c r="AP42" s="3">
        <v>6</v>
      </c>
      <c r="AR42" s="2" t="s">
        <v>46</v>
      </c>
    </row>
    <row r="43" spans="1:44" ht="12.75" customHeight="1">
      <c r="A43" s="4">
        <v>15103</v>
      </c>
      <c r="C43" s="2" t="s">
        <v>169</v>
      </c>
      <c r="E43" s="18">
        <v>0</v>
      </c>
      <c r="F43" s="18">
        <v>0</v>
      </c>
      <c r="G43" s="18">
        <v>0</v>
      </c>
      <c r="H43" s="18">
        <v>4</v>
      </c>
      <c r="I43" s="18">
        <v>0</v>
      </c>
      <c r="J43" s="18">
        <v>1</v>
      </c>
      <c r="K43" s="18">
        <v>0</v>
      </c>
      <c r="L43" s="18">
        <v>0</v>
      </c>
      <c r="M43" s="18">
        <v>1</v>
      </c>
      <c r="T43" s="3">
        <v>6</v>
      </c>
      <c r="U43" s="3">
        <v>12</v>
      </c>
      <c r="V43" s="3">
        <v>1</v>
      </c>
      <c r="X43" s="2" t="s">
        <v>59</v>
      </c>
      <c r="Y43" s="18">
        <v>0</v>
      </c>
      <c r="Z43" s="18">
        <v>0</v>
      </c>
      <c r="AA43" s="18">
        <v>4</v>
      </c>
      <c r="AB43" s="18">
        <v>0</v>
      </c>
      <c r="AC43" s="18">
        <v>0</v>
      </c>
      <c r="AD43" s="18">
        <v>1</v>
      </c>
      <c r="AE43" s="18">
        <v>0</v>
      </c>
      <c r="AF43" s="18">
        <v>0</v>
      </c>
      <c r="AG43" s="18">
        <v>0</v>
      </c>
      <c r="AN43" s="3">
        <v>5</v>
      </c>
      <c r="AO43" s="3">
        <v>9</v>
      </c>
      <c r="AP43" s="3">
        <v>1</v>
      </c>
      <c r="AR43" s="2" t="s">
        <v>47</v>
      </c>
    </row>
    <row r="44" spans="1:44" ht="12.75" customHeight="1">
      <c r="A44" s="4">
        <v>15110</v>
      </c>
      <c r="C44" s="2" t="s">
        <v>153</v>
      </c>
      <c r="E44" s="18">
        <v>3</v>
      </c>
      <c r="F44" s="18">
        <v>3</v>
      </c>
      <c r="G44" s="18">
        <v>1</v>
      </c>
      <c r="H44" s="18">
        <v>0</v>
      </c>
      <c r="I44" s="18">
        <v>0</v>
      </c>
      <c r="J44" s="18">
        <v>0</v>
      </c>
      <c r="K44" s="18" t="s">
        <v>162</v>
      </c>
      <c r="T44" s="3">
        <v>7</v>
      </c>
      <c r="U44" s="3">
        <v>8</v>
      </c>
      <c r="V44" s="3">
        <v>0</v>
      </c>
      <c r="X44" s="2" t="s">
        <v>1748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2</v>
      </c>
      <c r="AE44" s="18">
        <v>0</v>
      </c>
      <c r="AN44" s="3">
        <v>2</v>
      </c>
      <c r="AO44" s="3">
        <v>5</v>
      </c>
      <c r="AP44" s="3">
        <v>2</v>
      </c>
      <c r="AR44" s="2" t="s">
        <v>48</v>
      </c>
    </row>
    <row r="45" spans="1:44" ht="12.75" customHeight="1">
      <c r="A45" s="4">
        <v>15111</v>
      </c>
      <c r="C45" s="2" t="s">
        <v>175</v>
      </c>
      <c r="E45" s="18">
        <v>2</v>
      </c>
      <c r="F45" s="18">
        <v>11</v>
      </c>
      <c r="G45" s="18">
        <v>0</v>
      </c>
      <c r="H45" s="18">
        <v>2</v>
      </c>
      <c r="I45" s="18">
        <v>3</v>
      </c>
      <c r="J45" s="18">
        <v>0</v>
      </c>
      <c r="K45" s="18" t="s">
        <v>162</v>
      </c>
      <c r="T45" s="3">
        <v>18</v>
      </c>
      <c r="U45" s="3">
        <v>18</v>
      </c>
      <c r="V45" s="3">
        <v>0</v>
      </c>
      <c r="X45" s="2" t="s">
        <v>1747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N45" s="3">
        <v>0</v>
      </c>
      <c r="AO45" s="3">
        <v>1</v>
      </c>
      <c r="AP45" s="3">
        <v>2</v>
      </c>
      <c r="AR45" s="2" t="s">
        <v>49</v>
      </c>
    </row>
    <row r="46" spans="1:44" ht="12.75" customHeight="1">
      <c r="A46" s="4">
        <v>15113</v>
      </c>
      <c r="B46" s="2" t="s">
        <v>152</v>
      </c>
      <c r="C46" s="2" t="s">
        <v>154</v>
      </c>
      <c r="E46" s="18">
        <v>5</v>
      </c>
      <c r="F46" s="18">
        <v>5</v>
      </c>
      <c r="G46" s="18">
        <v>5</v>
      </c>
      <c r="H46" s="18">
        <v>0</v>
      </c>
      <c r="I46" s="18">
        <v>0</v>
      </c>
      <c r="J46" s="18">
        <v>0</v>
      </c>
      <c r="K46" s="18">
        <v>0</v>
      </c>
      <c r="T46" s="3">
        <v>15</v>
      </c>
      <c r="U46" s="3">
        <v>17</v>
      </c>
      <c r="V46" s="3">
        <v>0</v>
      </c>
      <c r="X46" s="2" t="s">
        <v>1750</v>
      </c>
      <c r="Y46" s="18">
        <v>0</v>
      </c>
      <c r="Z46" s="18">
        <v>0</v>
      </c>
      <c r="AA46" s="18">
        <v>0</v>
      </c>
      <c r="AB46" s="18">
        <v>0</v>
      </c>
      <c r="AC46" s="18">
        <v>1</v>
      </c>
      <c r="AD46" s="18">
        <v>5</v>
      </c>
      <c r="AE46" s="18">
        <v>0</v>
      </c>
      <c r="AN46" s="3">
        <v>6</v>
      </c>
      <c r="AO46" s="3">
        <v>8</v>
      </c>
      <c r="AP46" s="3">
        <v>2</v>
      </c>
      <c r="AR46" s="2" t="s">
        <v>30</v>
      </c>
    </row>
    <row r="47" spans="1:44" ht="12.75" customHeight="1">
      <c r="A47" s="4">
        <v>15117</v>
      </c>
      <c r="B47" s="2" t="s">
        <v>152</v>
      </c>
      <c r="C47" s="2" t="s">
        <v>327</v>
      </c>
      <c r="E47" s="18">
        <v>0</v>
      </c>
      <c r="F47" s="18">
        <v>1</v>
      </c>
      <c r="G47" s="18">
        <v>1</v>
      </c>
      <c r="H47" s="18">
        <v>1</v>
      </c>
      <c r="I47" s="18">
        <v>3</v>
      </c>
      <c r="J47" s="18">
        <v>0</v>
      </c>
      <c r="K47" s="18">
        <v>1</v>
      </c>
      <c r="T47" s="3">
        <v>7</v>
      </c>
      <c r="U47" s="3">
        <v>9</v>
      </c>
      <c r="V47" s="3">
        <v>0</v>
      </c>
      <c r="X47" s="2" t="s">
        <v>1749</v>
      </c>
      <c r="Y47" s="18">
        <v>1</v>
      </c>
      <c r="Z47" s="18">
        <v>0</v>
      </c>
      <c r="AA47" s="18">
        <v>0</v>
      </c>
      <c r="AB47" s="18">
        <v>0</v>
      </c>
      <c r="AC47" s="18">
        <v>0</v>
      </c>
      <c r="AD47" s="18">
        <v>2</v>
      </c>
      <c r="AE47" s="18">
        <v>0</v>
      </c>
      <c r="AN47" s="3">
        <v>3</v>
      </c>
      <c r="AO47" s="3">
        <v>7</v>
      </c>
      <c r="AP47" s="3">
        <v>6</v>
      </c>
      <c r="AR47" s="2" t="s">
        <v>50</v>
      </c>
    </row>
    <row r="48" spans="1:44" ht="12.75" customHeight="1">
      <c r="A48" s="4">
        <v>15119</v>
      </c>
      <c r="C48" s="2" t="s">
        <v>328</v>
      </c>
      <c r="D48" s="2" t="s">
        <v>171</v>
      </c>
      <c r="E48" s="18">
        <v>2</v>
      </c>
      <c r="F48" s="18">
        <v>0</v>
      </c>
      <c r="G48" s="18">
        <v>0</v>
      </c>
      <c r="H48" s="18">
        <v>0</v>
      </c>
      <c r="I48" s="18">
        <v>3</v>
      </c>
      <c r="J48" s="18">
        <v>0</v>
      </c>
      <c r="K48" s="18" t="s">
        <v>162</v>
      </c>
      <c r="T48" s="3">
        <v>5</v>
      </c>
      <c r="U48" s="3">
        <v>8</v>
      </c>
      <c r="V48" s="3">
        <v>2</v>
      </c>
      <c r="X48" s="2" t="s">
        <v>60</v>
      </c>
      <c r="Y48" s="18">
        <v>1</v>
      </c>
      <c r="Z48" s="18">
        <v>2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N48" s="3">
        <v>3</v>
      </c>
      <c r="AO48" s="3">
        <v>5</v>
      </c>
      <c r="AP48" s="3">
        <v>2</v>
      </c>
      <c r="AR48" s="2" t="s">
        <v>51</v>
      </c>
    </row>
    <row r="49" spans="1:44" ht="12.75" customHeight="1">
      <c r="A49" s="4">
        <v>15123</v>
      </c>
      <c r="B49" s="2" t="s">
        <v>152</v>
      </c>
      <c r="C49" s="2" t="s">
        <v>328</v>
      </c>
      <c r="D49" s="2" t="s">
        <v>171</v>
      </c>
      <c r="E49" s="18">
        <v>1</v>
      </c>
      <c r="F49" s="18">
        <v>0</v>
      </c>
      <c r="G49" s="18">
        <v>0</v>
      </c>
      <c r="H49" s="18">
        <v>0</v>
      </c>
      <c r="I49" s="18">
        <v>6</v>
      </c>
      <c r="J49" s="18">
        <v>0</v>
      </c>
      <c r="K49" s="18">
        <v>0</v>
      </c>
      <c r="T49" s="3">
        <v>7</v>
      </c>
      <c r="U49" s="3">
        <v>8</v>
      </c>
      <c r="V49" s="3" t="s">
        <v>162</v>
      </c>
      <c r="X49" s="2" t="s">
        <v>60</v>
      </c>
      <c r="Y49" s="18">
        <v>0</v>
      </c>
      <c r="Z49" s="18">
        <v>1</v>
      </c>
      <c r="AA49" s="18">
        <v>0</v>
      </c>
      <c r="AB49" s="18">
        <v>0</v>
      </c>
      <c r="AC49" s="18">
        <v>0</v>
      </c>
      <c r="AD49" s="18">
        <v>0</v>
      </c>
      <c r="AN49" s="3">
        <v>1</v>
      </c>
      <c r="AO49" s="3">
        <v>2</v>
      </c>
      <c r="AP49" s="3" t="s">
        <v>162</v>
      </c>
      <c r="AR49" s="2" t="s">
        <v>51</v>
      </c>
    </row>
    <row r="50" spans="1:44" ht="12.75" customHeight="1">
      <c r="A50" s="4">
        <v>15125</v>
      </c>
      <c r="B50" s="2" t="s">
        <v>152</v>
      </c>
      <c r="C50" s="2" t="s">
        <v>175</v>
      </c>
      <c r="E50" s="18">
        <v>3</v>
      </c>
      <c r="F50" s="18">
        <v>0</v>
      </c>
      <c r="G50" s="18">
        <v>1</v>
      </c>
      <c r="H50" s="18">
        <v>1</v>
      </c>
      <c r="I50" s="18">
        <v>0</v>
      </c>
      <c r="J50" s="18">
        <v>0</v>
      </c>
      <c r="K50" s="18">
        <v>8</v>
      </c>
      <c r="T50" s="3">
        <v>13</v>
      </c>
      <c r="U50" s="3">
        <v>18</v>
      </c>
      <c r="V50" s="3" t="s">
        <v>162</v>
      </c>
      <c r="X50" s="2" t="s">
        <v>1748</v>
      </c>
      <c r="Y50" s="18">
        <v>0</v>
      </c>
      <c r="Z50" s="18">
        <v>2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N50" s="3">
        <v>2</v>
      </c>
      <c r="AO50" s="3">
        <v>5</v>
      </c>
      <c r="AP50" s="3" t="s">
        <v>162</v>
      </c>
      <c r="AR50" s="2" t="s">
        <v>52</v>
      </c>
    </row>
    <row r="51" ht="12.75" customHeight="1">
      <c r="A51" s="4"/>
    </row>
    <row r="52" spans="1:45" ht="12.75" customHeight="1">
      <c r="A52" s="4">
        <v>15453</v>
      </c>
      <c r="B52" s="2" t="s">
        <v>152</v>
      </c>
      <c r="C52" s="2" t="s">
        <v>327</v>
      </c>
      <c r="E52" s="18">
        <v>3</v>
      </c>
      <c r="F52" s="18">
        <v>0</v>
      </c>
      <c r="G52" s="18">
        <v>4</v>
      </c>
      <c r="H52" s="18">
        <v>12</v>
      </c>
      <c r="I52" s="18">
        <v>1</v>
      </c>
      <c r="J52" s="18">
        <v>0</v>
      </c>
      <c r="K52" s="18">
        <v>0</v>
      </c>
      <c r="L52" s="18">
        <v>0</v>
      </c>
      <c r="T52" s="3">
        <v>20</v>
      </c>
      <c r="U52" s="3">
        <v>18</v>
      </c>
      <c r="V52" s="3">
        <v>1</v>
      </c>
      <c r="X52" s="2" t="s">
        <v>71</v>
      </c>
      <c r="Y52" s="18">
        <v>0</v>
      </c>
      <c r="Z52" s="18">
        <v>0</v>
      </c>
      <c r="AA52" s="18">
        <v>1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N52" s="3">
        <v>1</v>
      </c>
      <c r="AO52" s="3">
        <v>3</v>
      </c>
      <c r="AP52" s="3">
        <v>6</v>
      </c>
      <c r="AR52" s="2" t="s">
        <v>354</v>
      </c>
      <c r="AS52" s="2" t="s">
        <v>204</v>
      </c>
    </row>
    <row r="53" spans="1:46" ht="12.75" customHeight="1">
      <c r="A53" s="4">
        <v>15456</v>
      </c>
      <c r="B53" s="2" t="s">
        <v>152</v>
      </c>
      <c r="C53" s="2" t="s">
        <v>157</v>
      </c>
      <c r="E53" s="18">
        <v>1</v>
      </c>
      <c r="F53" s="18">
        <v>4</v>
      </c>
      <c r="G53" s="18">
        <v>0</v>
      </c>
      <c r="H53" s="18">
        <v>2</v>
      </c>
      <c r="I53" s="18">
        <v>3</v>
      </c>
      <c r="J53" s="18">
        <v>1</v>
      </c>
      <c r="K53" s="18">
        <v>3</v>
      </c>
      <c r="L53" s="18">
        <v>2</v>
      </c>
      <c r="M53" s="18">
        <v>1</v>
      </c>
      <c r="T53" s="3">
        <v>17</v>
      </c>
      <c r="U53" s="3">
        <v>24</v>
      </c>
      <c r="V53" s="3">
        <v>5</v>
      </c>
      <c r="X53" s="2" t="s">
        <v>69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3</v>
      </c>
      <c r="AE53" s="18">
        <v>1</v>
      </c>
      <c r="AF53" s="18">
        <v>0</v>
      </c>
      <c r="AG53" s="18">
        <v>0</v>
      </c>
      <c r="AN53" s="3">
        <v>4</v>
      </c>
      <c r="AO53" s="3">
        <v>7</v>
      </c>
      <c r="AP53" s="3">
        <v>5</v>
      </c>
      <c r="AR53" s="2" t="s">
        <v>360</v>
      </c>
      <c r="AS53" s="2" t="s">
        <v>176</v>
      </c>
      <c r="AT53" s="2" t="s">
        <v>177</v>
      </c>
    </row>
    <row r="54" spans="1:45" ht="12.75" customHeight="1">
      <c r="A54" s="4">
        <v>15460</v>
      </c>
      <c r="B54" s="2" t="s">
        <v>152</v>
      </c>
      <c r="C54" s="2" t="s">
        <v>178</v>
      </c>
      <c r="E54" s="18">
        <v>2</v>
      </c>
      <c r="F54" s="18">
        <v>2</v>
      </c>
      <c r="G54" s="18">
        <v>2</v>
      </c>
      <c r="H54" s="18">
        <v>3</v>
      </c>
      <c r="I54" s="18">
        <v>6</v>
      </c>
      <c r="J54" s="18">
        <v>1</v>
      </c>
      <c r="K54" s="18">
        <v>1</v>
      </c>
      <c r="T54" s="3">
        <v>17</v>
      </c>
      <c r="U54" s="3">
        <v>10</v>
      </c>
      <c r="V54" s="3">
        <v>1</v>
      </c>
      <c r="X54" s="2" t="s">
        <v>61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1</v>
      </c>
      <c r="AE54" s="18">
        <v>0</v>
      </c>
      <c r="AN54" s="3">
        <v>1</v>
      </c>
      <c r="AO54" s="3">
        <v>5</v>
      </c>
      <c r="AP54" s="3">
        <v>3</v>
      </c>
      <c r="AR54" s="2" t="s">
        <v>361</v>
      </c>
      <c r="AS54" s="2" t="s">
        <v>399</v>
      </c>
    </row>
    <row r="55" spans="1:45" ht="12.75" customHeight="1">
      <c r="A55" s="4">
        <v>15461</v>
      </c>
      <c r="B55" s="2" t="s">
        <v>152</v>
      </c>
      <c r="C55" s="2" t="s">
        <v>168</v>
      </c>
      <c r="E55" s="18">
        <v>0</v>
      </c>
      <c r="F55" s="18">
        <v>0</v>
      </c>
      <c r="G55" s="18">
        <v>0</v>
      </c>
      <c r="H55" s="18">
        <v>0</v>
      </c>
      <c r="I55" s="18">
        <v>3</v>
      </c>
      <c r="J55" s="18">
        <v>0</v>
      </c>
      <c r="K55" s="18">
        <v>0</v>
      </c>
      <c r="L55" s="18">
        <v>0</v>
      </c>
      <c r="M55" s="18">
        <v>0</v>
      </c>
      <c r="T55" s="3">
        <v>3</v>
      </c>
      <c r="U55" s="3">
        <v>7</v>
      </c>
      <c r="V55" s="3">
        <v>6</v>
      </c>
      <c r="X55" s="2" t="s">
        <v>68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2</v>
      </c>
      <c r="AN55" s="3">
        <v>2</v>
      </c>
      <c r="AO55" s="3">
        <v>2</v>
      </c>
      <c r="AP55" s="3">
        <v>7</v>
      </c>
      <c r="AR55" s="2" t="s">
        <v>362</v>
      </c>
      <c r="AS55" s="2" t="s">
        <v>397</v>
      </c>
    </row>
    <row r="56" spans="1:44" ht="12.75" customHeight="1">
      <c r="A56" s="4">
        <v>15463</v>
      </c>
      <c r="C56" s="2" t="s">
        <v>153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2</v>
      </c>
      <c r="T56" s="3">
        <v>2</v>
      </c>
      <c r="U56" s="3" t="s">
        <v>162</v>
      </c>
      <c r="V56" s="3" t="s">
        <v>162</v>
      </c>
      <c r="X56" s="2" t="s">
        <v>70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1</v>
      </c>
      <c r="AN56" s="3">
        <v>1</v>
      </c>
      <c r="AO56" s="3" t="s">
        <v>162</v>
      </c>
      <c r="AP56" s="3" t="s">
        <v>162</v>
      </c>
      <c r="AR56" s="2" t="s">
        <v>363</v>
      </c>
    </row>
    <row r="57" spans="1:44" ht="12.75" customHeight="1">
      <c r="A57" s="4">
        <v>15466</v>
      </c>
      <c r="C57" s="2" t="s">
        <v>168</v>
      </c>
      <c r="E57" s="18">
        <v>2</v>
      </c>
      <c r="F57" s="18">
        <v>0</v>
      </c>
      <c r="G57" s="18">
        <v>0</v>
      </c>
      <c r="H57" s="18">
        <v>0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T57" s="3">
        <v>4</v>
      </c>
      <c r="U57" s="3">
        <v>8</v>
      </c>
      <c r="V57" s="3">
        <v>1</v>
      </c>
      <c r="X57" s="2" t="s">
        <v>65</v>
      </c>
      <c r="Y57" s="18">
        <v>0</v>
      </c>
      <c r="Z57" s="18">
        <v>0</v>
      </c>
      <c r="AA57" s="18">
        <v>0</v>
      </c>
      <c r="AB57" s="18">
        <v>1</v>
      </c>
      <c r="AC57" s="18">
        <v>0</v>
      </c>
      <c r="AD57" s="18">
        <v>2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N57" s="3">
        <v>3</v>
      </c>
      <c r="AO57" s="3">
        <v>7</v>
      </c>
      <c r="AP57" s="3">
        <v>0</v>
      </c>
      <c r="AR57" s="2" t="s">
        <v>45</v>
      </c>
    </row>
    <row r="58" spans="1:44" ht="12.75" customHeight="1">
      <c r="A58" s="4">
        <v>15467</v>
      </c>
      <c r="B58" s="2" t="s">
        <v>152</v>
      </c>
      <c r="C58" s="2" t="s">
        <v>154</v>
      </c>
      <c r="E58" s="18">
        <v>3</v>
      </c>
      <c r="F58" s="18">
        <v>0</v>
      </c>
      <c r="G58" s="18">
        <v>0</v>
      </c>
      <c r="H58" s="18">
        <v>2</v>
      </c>
      <c r="I58" s="18">
        <v>2</v>
      </c>
      <c r="J58" s="18">
        <v>2</v>
      </c>
      <c r="K58" s="18">
        <v>1</v>
      </c>
      <c r="L58" s="18">
        <v>2</v>
      </c>
      <c r="M58" s="18">
        <v>2</v>
      </c>
      <c r="T58" s="3">
        <v>14</v>
      </c>
      <c r="U58" s="3" t="s">
        <v>162</v>
      </c>
      <c r="V58" s="3" t="s">
        <v>162</v>
      </c>
      <c r="X58" s="2" t="s">
        <v>68</v>
      </c>
      <c r="Y58" s="18">
        <v>0</v>
      </c>
      <c r="Z58" s="18">
        <v>0</v>
      </c>
      <c r="AA58" s="18">
        <v>3</v>
      </c>
      <c r="AB58" s="18">
        <v>0</v>
      </c>
      <c r="AC58" s="18">
        <v>0</v>
      </c>
      <c r="AD58" s="18">
        <v>0</v>
      </c>
      <c r="AE58" s="18">
        <v>2</v>
      </c>
      <c r="AF58" s="18">
        <v>1</v>
      </c>
      <c r="AG58" s="18">
        <v>0</v>
      </c>
      <c r="AN58" s="3">
        <v>6</v>
      </c>
      <c r="AO58" s="3" t="s">
        <v>162</v>
      </c>
      <c r="AP58" s="3" t="s">
        <v>162</v>
      </c>
      <c r="AR58" s="2" t="s">
        <v>364</v>
      </c>
    </row>
    <row r="59" spans="1:44" ht="12.75" customHeight="1">
      <c r="A59" s="4">
        <v>15470</v>
      </c>
      <c r="B59" s="2" t="s">
        <v>152</v>
      </c>
      <c r="C59" s="2" t="s">
        <v>327</v>
      </c>
      <c r="E59" s="18">
        <v>0</v>
      </c>
      <c r="F59" s="18">
        <v>1</v>
      </c>
      <c r="G59" s="18">
        <v>0</v>
      </c>
      <c r="H59" s="18">
        <v>2</v>
      </c>
      <c r="I59" s="18">
        <v>0</v>
      </c>
      <c r="J59" s="18">
        <v>0</v>
      </c>
      <c r="K59" s="18">
        <v>3</v>
      </c>
      <c r="L59" s="18">
        <v>6</v>
      </c>
      <c r="T59" s="3">
        <v>12</v>
      </c>
      <c r="U59" s="3" t="s">
        <v>162</v>
      </c>
      <c r="V59" s="3" t="s">
        <v>162</v>
      </c>
      <c r="X59" s="2" t="s">
        <v>67</v>
      </c>
      <c r="Y59" s="18">
        <v>0</v>
      </c>
      <c r="Z59" s="18">
        <v>0</v>
      </c>
      <c r="AA59" s="18">
        <v>1</v>
      </c>
      <c r="AB59" s="18">
        <v>1</v>
      </c>
      <c r="AC59" s="18">
        <v>4</v>
      </c>
      <c r="AD59" s="18">
        <v>0</v>
      </c>
      <c r="AE59" s="18">
        <v>0</v>
      </c>
      <c r="AF59" s="18">
        <v>0</v>
      </c>
      <c r="AN59" s="3">
        <v>6</v>
      </c>
      <c r="AO59" s="3" t="s">
        <v>162</v>
      </c>
      <c r="AP59" s="3" t="s">
        <v>162</v>
      </c>
      <c r="AR59" s="2" t="s">
        <v>365</v>
      </c>
    </row>
    <row r="60" spans="1:44" ht="12.75" customHeight="1">
      <c r="A60" s="4">
        <v>15474</v>
      </c>
      <c r="C60" s="2" t="s">
        <v>157</v>
      </c>
      <c r="E60" s="18">
        <v>0</v>
      </c>
      <c r="F60" s="18">
        <v>0</v>
      </c>
      <c r="G60" s="18">
        <v>0</v>
      </c>
      <c r="H60" s="18">
        <v>3</v>
      </c>
      <c r="I60" s="18">
        <v>8</v>
      </c>
      <c r="J60" s="18">
        <v>1</v>
      </c>
      <c r="K60" s="18">
        <v>0</v>
      </c>
      <c r="L60" s="18">
        <v>0</v>
      </c>
      <c r="M60" s="18" t="s">
        <v>162</v>
      </c>
      <c r="T60" s="3">
        <v>12</v>
      </c>
      <c r="U60" s="3">
        <v>15</v>
      </c>
      <c r="V60" s="3">
        <v>3</v>
      </c>
      <c r="X60" s="2" t="s">
        <v>70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1</v>
      </c>
      <c r="AE60" s="18">
        <v>0</v>
      </c>
      <c r="AF60" s="18">
        <v>1</v>
      </c>
      <c r="AG60" s="18">
        <v>0</v>
      </c>
      <c r="AN60" s="3">
        <v>2</v>
      </c>
      <c r="AO60" s="3">
        <v>15</v>
      </c>
      <c r="AP60" s="3">
        <v>3</v>
      </c>
      <c r="AR60" s="2" t="s">
        <v>366</v>
      </c>
    </row>
    <row r="61" spans="1:44" ht="12.75" customHeight="1">
      <c r="A61" s="4">
        <v>15475</v>
      </c>
      <c r="C61" s="2" t="s">
        <v>327</v>
      </c>
      <c r="E61" s="18">
        <v>3</v>
      </c>
      <c r="F61" s="18">
        <v>0</v>
      </c>
      <c r="G61" s="18">
        <v>0</v>
      </c>
      <c r="H61" s="18">
        <v>1</v>
      </c>
      <c r="I61" s="18">
        <v>0</v>
      </c>
      <c r="J61" s="18">
        <v>2</v>
      </c>
      <c r="K61" s="18">
        <v>0</v>
      </c>
      <c r="L61" s="18">
        <v>0</v>
      </c>
      <c r="M61" s="18">
        <v>0</v>
      </c>
      <c r="N61" s="18">
        <v>1</v>
      </c>
      <c r="O61" s="18">
        <v>1</v>
      </c>
      <c r="T61" s="3">
        <v>8</v>
      </c>
      <c r="U61" s="3" t="s">
        <v>162</v>
      </c>
      <c r="V61" s="3" t="s">
        <v>162</v>
      </c>
      <c r="X61" s="2" t="s">
        <v>62</v>
      </c>
      <c r="Y61" s="18">
        <v>0</v>
      </c>
      <c r="Z61" s="18">
        <v>0</v>
      </c>
      <c r="AA61" s="18">
        <v>2</v>
      </c>
      <c r="AB61" s="18">
        <v>0</v>
      </c>
      <c r="AC61" s="18">
        <v>1</v>
      </c>
      <c r="AD61" s="18">
        <v>3</v>
      </c>
      <c r="AE61" s="18">
        <v>0</v>
      </c>
      <c r="AF61" s="18">
        <v>0</v>
      </c>
      <c r="AG61" s="18">
        <v>0</v>
      </c>
      <c r="AH61" s="18">
        <v>1</v>
      </c>
      <c r="AI61" s="18">
        <v>0</v>
      </c>
      <c r="AN61" s="3">
        <v>7</v>
      </c>
      <c r="AO61" s="3" t="s">
        <v>162</v>
      </c>
      <c r="AP61" s="3" t="s">
        <v>162</v>
      </c>
      <c r="AR61" s="2" t="s">
        <v>365</v>
      </c>
    </row>
    <row r="62" spans="1:44" ht="12.75" customHeight="1">
      <c r="A62" s="4">
        <v>15477</v>
      </c>
      <c r="C62" s="2" t="s">
        <v>178</v>
      </c>
      <c r="E62" s="18">
        <v>4</v>
      </c>
      <c r="F62" s="18">
        <v>6</v>
      </c>
      <c r="G62" s="18">
        <v>8</v>
      </c>
      <c r="H62" s="18">
        <v>0</v>
      </c>
      <c r="I62" s="18">
        <v>0</v>
      </c>
      <c r="J62" s="18">
        <v>2</v>
      </c>
      <c r="K62" s="18" t="s">
        <v>162</v>
      </c>
      <c r="T62" s="3">
        <v>20</v>
      </c>
      <c r="U62" s="3" t="s">
        <v>162</v>
      </c>
      <c r="V62" s="3" t="s">
        <v>162</v>
      </c>
      <c r="X62" s="2" t="s">
        <v>63</v>
      </c>
      <c r="Y62" s="18">
        <v>0</v>
      </c>
      <c r="Z62" s="18">
        <v>0</v>
      </c>
      <c r="AA62" s="18">
        <v>0</v>
      </c>
      <c r="AB62" s="18">
        <v>1</v>
      </c>
      <c r="AC62" s="18">
        <v>0</v>
      </c>
      <c r="AD62" s="18">
        <v>0</v>
      </c>
      <c r="AE62" s="18">
        <v>5</v>
      </c>
      <c r="AN62" s="3">
        <v>6</v>
      </c>
      <c r="AO62" s="3" t="s">
        <v>162</v>
      </c>
      <c r="AP62" s="3" t="s">
        <v>162</v>
      </c>
      <c r="AR62" s="2" t="s">
        <v>25</v>
      </c>
    </row>
    <row r="63" spans="1:44" ht="12.75" customHeight="1">
      <c r="A63" s="4">
        <v>15480</v>
      </c>
      <c r="B63" s="2" t="s">
        <v>152</v>
      </c>
      <c r="C63" s="2" t="s">
        <v>153</v>
      </c>
      <c r="E63" s="18">
        <v>0</v>
      </c>
      <c r="F63" s="18">
        <v>6</v>
      </c>
      <c r="G63" s="18">
        <v>4</v>
      </c>
      <c r="H63" s="18">
        <v>5</v>
      </c>
      <c r="I63" s="18">
        <v>0</v>
      </c>
      <c r="J63" s="18">
        <v>5</v>
      </c>
      <c r="K63" s="18">
        <v>0</v>
      </c>
      <c r="T63" s="3">
        <v>20</v>
      </c>
      <c r="U63" s="3" t="s">
        <v>162</v>
      </c>
      <c r="V63" s="3" t="s">
        <v>162</v>
      </c>
      <c r="X63" s="2" t="s">
        <v>66</v>
      </c>
      <c r="Y63" s="18">
        <v>3</v>
      </c>
      <c r="Z63" s="18">
        <v>0</v>
      </c>
      <c r="AA63" s="18">
        <v>1</v>
      </c>
      <c r="AB63" s="18">
        <v>0</v>
      </c>
      <c r="AC63" s="18">
        <v>0</v>
      </c>
      <c r="AD63" s="18">
        <v>0</v>
      </c>
      <c r="AE63" s="18">
        <v>1</v>
      </c>
      <c r="AN63" s="3">
        <v>5</v>
      </c>
      <c r="AO63" s="3" t="s">
        <v>162</v>
      </c>
      <c r="AP63" s="3" t="s">
        <v>162</v>
      </c>
      <c r="AR63" s="2" t="s">
        <v>26</v>
      </c>
    </row>
    <row r="64" spans="1:44" ht="12.75" customHeight="1">
      <c r="A64" s="4">
        <v>15487</v>
      </c>
      <c r="B64" s="2" t="s">
        <v>152</v>
      </c>
      <c r="C64" s="2" t="s">
        <v>328</v>
      </c>
      <c r="D64" s="2" t="s">
        <v>171</v>
      </c>
      <c r="E64" s="18">
        <v>0</v>
      </c>
      <c r="F64" s="18">
        <v>0</v>
      </c>
      <c r="G64" s="18">
        <v>0</v>
      </c>
      <c r="H64" s="18">
        <v>3</v>
      </c>
      <c r="I64" s="18">
        <v>0</v>
      </c>
      <c r="J64" s="18">
        <v>4</v>
      </c>
      <c r="K64" s="18">
        <v>1</v>
      </c>
      <c r="T64" s="3">
        <v>8</v>
      </c>
      <c r="U64" s="3" t="s">
        <v>162</v>
      </c>
      <c r="V64" s="3" t="s">
        <v>162</v>
      </c>
      <c r="X64" s="2" t="s">
        <v>66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N64" s="3">
        <v>0</v>
      </c>
      <c r="AO64" s="3" t="s">
        <v>162</v>
      </c>
      <c r="AP64" s="3" t="s">
        <v>162</v>
      </c>
      <c r="AR64" s="2" t="s">
        <v>27</v>
      </c>
    </row>
    <row r="65" spans="1:44" ht="12.75" customHeight="1">
      <c r="A65" s="4">
        <v>15489</v>
      </c>
      <c r="C65" s="2" t="s">
        <v>328</v>
      </c>
      <c r="D65" s="2" t="s">
        <v>171</v>
      </c>
      <c r="E65" s="18">
        <v>2</v>
      </c>
      <c r="F65" s="18">
        <v>1</v>
      </c>
      <c r="G65" s="18">
        <v>1</v>
      </c>
      <c r="H65" s="18">
        <v>1</v>
      </c>
      <c r="I65" s="18">
        <v>0</v>
      </c>
      <c r="J65" s="18">
        <v>2</v>
      </c>
      <c r="K65" s="18">
        <v>0</v>
      </c>
      <c r="T65" s="3">
        <v>7</v>
      </c>
      <c r="U65" s="3" t="s">
        <v>162</v>
      </c>
      <c r="V65" s="3" t="s">
        <v>162</v>
      </c>
      <c r="X65" s="2" t="s">
        <v>64</v>
      </c>
      <c r="Y65" s="18">
        <v>0</v>
      </c>
      <c r="Z65" s="18">
        <v>2</v>
      </c>
      <c r="AA65" s="18">
        <v>7</v>
      </c>
      <c r="AB65" s="18">
        <v>0</v>
      </c>
      <c r="AC65" s="18">
        <v>0</v>
      </c>
      <c r="AD65" s="18">
        <v>5</v>
      </c>
      <c r="AE65" s="18">
        <v>0</v>
      </c>
      <c r="AN65" s="3">
        <v>14</v>
      </c>
      <c r="AO65" s="3" t="s">
        <v>162</v>
      </c>
      <c r="AP65" s="3" t="s">
        <v>162</v>
      </c>
      <c r="AR65" s="2" t="s">
        <v>28</v>
      </c>
    </row>
    <row r="66" spans="1:44" ht="12.75" customHeight="1">
      <c r="A66" s="4">
        <v>15493</v>
      </c>
      <c r="C66" s="2" t="s">
        <v>328</v>
      </c>
      <c r="D66" s="2" t="s">
        <v>171</v>
      </c>
      <c r="E66" s="18">
        <v>0</v>
      </c>
      <c r="F66" s="18">
        <v>1</v>
      </c>
      <c r="G66" s="18">
        <v>0</v>
      </c>
      <c r="H66" s="18">
        <v>1</v>
      </c>
      <c r="I66" s="18">
        <v>0</v>
      </c>
      <c r="J66" s="18">
        <v>0</v>
      </c>
      <c r="K66" s="18">
        <v>0</v>
      </c>
      <c r="L66" s="18">
        <v>0</v>
      </c>
      <c r="M66" s="18" t="s">
        <v>162</v>
      </c>
      <c r="T66" s="3">
        <v>2</v>
      </c>
      <c r="U66" s="3" t="s">
        <v>162</v>
      </c>
      <c r="V66" s="3" t="s">
        <v>162</v>
      </c>
      <c r="X66" s="2" t="s">
        <v>68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N66" s="3">
        <v>0</v>
      </c>
      <c r="AO66" s="3" t="s">
        <v>162</v>
      </c>
      <c r="AP66" s="3" t="s">
        <v>162</v>
      </c>
      <c r="AR66" s="2" t="s">
        <v>29</v>
      </c>
    </row>
    <row r="67" ht="12.75" customHeight="1">
      <c r="A67" s="4"/>
    </row>
    <row r="68" spans="1:45" ht="12.75" customHeight="1">
      <c r="A68" s="9" t="s">
        <v>201</v>
      </c>
      <c r="C68" s="29" t="s">
        <v>329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AS68" s="2" t="s">
        <v>204</v>
      </c>
    </row>
    <row r="69" ht="12.75" customHeight="1">
      <c r="A69" s="4"/>
    </row>
    <row r="70" spans="1:45" ht="12.75" customHeight="1">
      <c r="A70" s="9" t="s">
        <v>202</v>
      </c>
      <c r="C70" s="29" t="s">
        <v>329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AS70" s="2" t="s">
        <v>204</v>
      </c>
    </row>
    <row r="71" ht="12.75" customHeight="1">
      <c r="A71" s="4"/>
    </row>
    <row r="72" spans="1:45" ht="12.75" customHeight="1">
      <c r="A72" s="4">
        <v>16547</v>
      </c>
      <c r="C72" s="2" t="s">
        <v>327</v>
      </c>
      <c r="T72" s="3">
        <v>2</v>
      </c>
      <c r="U72" s="3" t="s">
        <v>162</v>
      </c>
      <c r="V72" s="3" t="s">
        <v>162</v>
      </c>
      <c r="X72" s="2" t="s">
        <v>27</v>
      </c>
      <c r="AN72" s="3">
        <v>4</v>
      </c>
      <c r="AO72" s="3" t="s">
        <v>162</v>
      </c>
      <c r="AP72" s="3" t="s">
        <v>162</v>
      </c>
      <c r="AR72" s="2" t="s">
        <v>27</v>
      </c>
      <c r="AS72" s="2" t="s">
        <v>204</v>
      </c>
    </row>
    <row r="73" spans="1:46" ht="12.75" customHeight="1">
      <c r="A73" s="4" t="s">
        <v>179</v>
      </c>
      <c r="C73" s="2" t="s">
        <v>174</v>
      </c>
      <c r="T73" s="3">
        <v>4</v>
      </c>
      <c r="U73" s="3" t="s">
        <v>162</v>
      </c>
      <c r="V73" s="3" t="s">
        <v>162</v>
      </c>
      <c r="X73" s="2" t="s">
        <v>27</v>
      </c>
      <c r="AN73" s="3">
        <v>2</v>
      </c>
      <c r="AO73" s="3" t="s">
        <v>162</v>
      </c>
      <c r="AP73" s="3" t="s">
        <v>162</v>
      </c>
      <c r="AR73" s="2" t="s">
        <v>27</v>
      </c>
      <c r="AS73" s="2" t="s">
        <v>180</v>
      </c>
      <c r="AT73" s="2" t="s">
        <v>181</v>
      </c>
    </row>
    <row r="74" spans="1:44" ht="12.75" customHeight="1">
      <c r="A74" s="4" t="s">
        <v>179</v>
      </c>
      <c r="C74" s="2" t="s">
        <v>160</v>
      </c>
      <c r="T74" s="3">
        <v>10</v>
      </c>
      <c r="U74" s="3" t="s">
        <v>162</v>
      </c>
      <c r="V74" s="3" t="s">
        <v>162</v>
      </c>
      <c r="X74" s="2" t="s">
        <v>27</v>
      </c>
      <c r="AN74" s="3">
        <v>7</v>
      </c>
      <c r="AO74" s="3" t="s">
        <v>162</v>
      </c>
      <c r="AP74" s="3" t="s">
        <v>162</v>
      </c>
      <c r="AR74" s="2" t="s">
        <v>27</v>
      </c>
    </row>
    <row r="75" spans="1:44" ht="12.75" customHeight="1">
      <c r="A75" s="4" t="s">
        <v>179</v>
      </c>
      <c r="C75" s="2" t="s">
        <v>169</v>
      </c>
      <c r="T75" s="3">
        <v>9</v>
      </c>
      <c r="U75" s="3" t="s">
        <v>162</v>
      </c>
      <c r="V75" s="3" t="s">
        <v>162</v>
      </c>
      <c r="X75" s="2" t="s">
        <v>27</v>
      </c>
      <c r="AN75" s="3">
        <v>8</v>
      </c>
      <c r="AO75" s="3" t="s">
        <v>162</v>
      </c>
      <c r="AP75" s="3" t="s">
        <v>162</v>
      </c>
      <c r="AR75" s="2" t="s">
        <v>27</v>
      </c>
    </row>
    <row r="76" spans="1:44" ht="12.75" customHeight="1">
      <c r="A76" s="4" t="s">
        <v>179</v>
      </c>
      <c r="C76" s="2" t="s">
        <v>169</v>
      </c>
      <c r="T76" s="3">
        <v>4</v>
      </c>
      <c r="U76" s="3" t="s">
        <v>162</v>
      </c>
      <c r="V76" s="3" t="s">
        <v>162</v>
      </c>
      <c r="X76" s="2" t="s">
        <v>27</v>
      </c>
      <c r="AN76" s="3">
        <v>2</v>
      </c>
      <c r="AO76" s="3" t="s">
        <v>162</v>
      </c>
      <c r="AP76" s="3" t="s">
        <v>162</v>
      </c>
      <c r="AR76" s="2" t="s">
        <v>27</v>
      </c>
    </row>
    <row r="77" spans="1:44" ht="12.75" customHeight="1">
      <c r="A77" s="4" t="s">
        <v>179</v>
      </c>
      <c r="C77" s="2" t="s">
        <v>327</v>
      </c>
      <c r="T77" s="3">
        <v>1</v>
      </c>
      <c r="U77" s="3" t="s">
        <v>162</v>
      </c>
      <c r="V77" s="3" t="s">
        <v>162</v>
      </c>
      <c r="X77" s="2" t="s">
        <v>27</v>
      </c>
      <c r="AN77" s="3">
        <v>0</v>
      </c>
      <c r="AO77" s="3" t="s">
        <v>162</v>
      </c>
      <c r="AP77" s="3" t="s">
        <v>162</v>
      </c>
      <c r="AR77" s="2" t="s">
        <v>27</v>
      </c>
    </row>
    <row r="78" spans="1:44" ht="12.75" customHeight="1">
      <c r="A78" s="4" t="s">
        <v>179</v>
      </c>
      <c r="C78" s="2" t="s">
        <v>182</v>
      </c>
      <c r="T78" s="3">
        <v>8</v>
      </c>
      <c r="U78" s="3" t="s">
        <v>162</v>
      </c>
      <c r="V78" s="3" t="s">
        <v>162</v>
      </c>
      <c r="X78" s="2" t="s">
        <v>27</v>
      </c>
      <c r="AN78" s="3">
        <v>15</v>
      </c>
      <c r="AO78" s="3" t="s">
        <v>162</v>
      </c>
      <c r="AP78" s="3" t="s">
        <v>162</v>
      </c>
      <c r="AR78" s="2" t="s">
        <v>27</v>
      </c>
    </row>
    <row r="79" spans="1:44" ht="12.75" customHeight="1">
      <c r="A79" s="4" t="s">
        <v>179</v>
      </c>
      <c r="C79" s="2" t="s">
        <v>182</v>
      </c>
      <c r="T79" s="3">
        <v>1</v>
      </c>
      <c r="U79" s="3" t="s">
        <v>162</v>
      </c>
      <c r="V79" s="3" t="s">
        <v>162</v>
      </c>
      <c r="X79" s="2" t="s">
        <v>27</v>
      </c>
      <c r="AN79" s="3">
        <v>2</v>
      </c>
      <c r="AO79" s="3" t="s">
        <v>162</v>
      </c>
      <c r="AP79" s="3" t="s">
        <v>162</v>
      </c>
      <c r="AR79" s="2" t="s">
        <v>27</v>
      </c>
    </row>
    <row r="80" spans="1:44" ht="12.75" customHeight="1">
      <c r="A80" s="4" t="s">
        <v>179</v>
      </c>
      <c r="C80" s="2" t="s">
        <v>183</v>
      </c>
      <c r="T80" s="3">
        <v>2</v>
      </c>
      <c r="U80" s="3" t="s">
        <v>162</v>
      </c>
      <c r="V80" s="3" t="s">
        <v>162</v>
      </c>
      <c r="X80" s="2" t="s">
        <v>27</v>
      </c>
      <c r="AN80" s="3">
        <v>11</v>
      </c>
      <c r="AO80" s="3" t="s">
        <v>162</v>
      </c>
      <c r="AP80" s="3" t="s">
        <v>162</v>
      </c>
      <c r="AR80" s="2" t="s">
        <v>27</v>
      </c>
    </row>
    <row r="81" spans="1:44" ht="12.75" customHeight="1">
      <c r="A81" s="4" t="s">
        <v>179</v>
      </c>
      <c r="C81" s="2" t="s">
        <v>183</v>
      </c>
      <c r="T81" s="3">
        <v>2</v>
      </c>
      <c r="U81" s="3" t="s">
        <v>162</v>
      </c>
      <c r="V81" s="3" t="s">
        <v>162</v>
      </c>
      <c r="X81" s="2" t="s">
        <v>27</v>
      </c>
      <c r="AN81" s="3">
        <v>3</v>
      </c>
      <c r="AO81" s="3" t="s">
        <v>162</v>
      </c>
      <c r="AP81" s="3" t="s">
        <v>162</v>
      </c>
      <c r="AR81" s="2" t="s">
        <v>27</v>
      </c>
    </row>
    <row r="82" spans="1:44" ht="12.75" customHeight="1">
      <c r="A82" s="4" t="s">
        <v>179</v>
      </c>
      <c r="C82" s="2" t="s">
        <v>160</v>
      </c>
      <c r="T82" s="3">
        <v>4</v>
      </c>
      <c r="U82" s="3" t="s">
        <v>162</v>
      </c>
      <c r="V82" s="3" t="s">
        <v>162</v>
      </c>
      <c r="X82" s="2" t="s">
        <v>27</v>
      </c>
      <c r="AN82" s="3">
        <v>7</v>
      </c>
      <c r="AO82" s="3" t="s">
        <v>162</v>
      </c>
      <c r="AP82" s="3" t="s">
        <v>162</v>
      </c>
      <c r="AR82" s="2" t="s">
        <v>27</v>
      </c>
    </row>
    <row r="83" ht="12.75" customHeight="1">
      <c r="A83" s="4"/>
    </row>
    <row r="84" spans="1:45" ht="12.75" customHeight="1">
      <c r="A84" s="4">
        <v>16922</v>
      </c>
      <c r="C84" s="2" t="s">
        <v>184</v>
      </c>
      <c r="E84" s="18">
        <v>2</v>
      </c>
      <c r="F84" s="18">
        <v>0</v>
      </c>
      <c r="G84" s="18">
        <v>3</v>
      </c>
      <c r="H84" s="18">
        <v>1</v>
      </c>
      <c r="I84" s="18">
        <v>0</v>
      </c>
      <c r="J84" s="18">
        <v>0</v>
      </c>
      <c r="K84" s="18" t="s">
        <v>162</v>
      </c>
      <c r="T84" s="3">
        <v>6</v>
      </c>
      <c r="U84" s="3">
        <v>6</v>
      </c>
      <c r="V84" s="3">
        <v>3</v>
      </c>
      <c r="X84" s="2" t="s">
        <v>400</v>
      </c>
      <c r="Y84" s="18">
        <v>2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N84" s="3">
        <v>2</v>
      </c>
      <c r="AO84" s="3">
        <v>3</v>
      </c>
      <c r="AP84" s="3">
        <v>3</v>
      </c>
      <c r="AR84" s="2" t="s">
        <v>401</v>
      </c>
      <c r="AS84" s="2" t="s">
        <v>204</v>
      </c>
    </row>
    <row r="85" spans="1:46" ht="12.75" customHeight="1">
      <c r="A85" s="4">
        <v>16923</v>
      </c>
      <c r="C85" s="2" t="s">
        <v>182</v>
      </c>
      <c r="E85" s="18">
        <v>0</v>
      </c>
      <c r="F85" s="18">
        <v>0</v>
      </c>
      <c r="G85" s="18">
        <v>0</v>
      </c>
      <c r="H85" s="18">
        <v>0</v>
      </c>
      <c r="I85" s="18">
        <v>1</v>
      </c>
      <c r="J85" s="18">
        <v>0</v>
      </c>
      <c r="K85" s="18">
        <v>2</v>
      </c>
      <c r="T85" s="3">
        <v>3</v>
      </c>
      <c r="U85" s="3">
        <v>3</v>
      </c>
      <c r="V85" s="3">
        <v>0</v>
      </c>
      <c r="X85" s="2" t="s">
        <v>402</v>
      </c>
      <c r="Y85" s="18">
        <v>0</v>
      </c>
      <c r="Z85" s="18">
        <v>0</v>
      </c>
      <c r="AA85" s="18">
        <v>3</v>
      </c>
      <c r="AB85" s="18">
        <v>3</v>
      </c>
      <c r="AC85" s="18">
        <v>1</v>
      </c>
      <c r="AD85" s="18">
        <v>0</v>
      </c>
      <c r="AE85" s="18">
        <v>0</v>
      </c>
      <c r="AN85" s="3">
        <v>7</v>
      </c>
      <c r="AO85" s="3">
        <v>10</v>
      </c>
      <c r="AP85" s="3">
        <v>5</v>
      </c>
      <c r="AR85" s="2" t="s">
        <v>403</v>
      </c>
      <c r="AS85" s="2" t="s">
        <v>185</v>
      </c>
      <c r="AT85" s="2" t="s">
        <v>156</v>
      </c>
    </row>
    <row r="86" spans="1:44" ht="12.75" customHeight="1">
      <c r="A86" s="4">
        <v>16925</v>
      </c>
      <c r="C86" s="2" t="s">
        <v>168</v>
      </c>
      <c r="E86" s="18">
        <v>0</v>
      </c>
      <c r="F86" s="18">
        <v>0</v>
      </c>
      <c r="G86" s="18">
        <v>0</v>
      </c>
      <c r="H86" s="18">
        <v>0</v>
      </c>
      <c r="I86" s="18">
        <v>2</v>
      </c>
      <c r="J86" s="18">
        <v>0</v>
      </c>
      <c r="K86" s="18">
        <v>0</v>
      </c>
      <c r="T86" s="3">
        <v>2</v>
      </c>
      <c r="U86" s="3">
        <v>6</v>
      </c>
      <c r="V86" s="3">
        <v>2</v>
      </c>
      <c r="X86" s="2" t="s">
        <v>1930</v>
      </c>
      <c r="Y86" s="18">
        <v>0</v>
      </c>
      <c r="Z86" s="18">
        <v>2</v>
      </c>
      <c r="AA86" s="18">
        <v>6</v>
      </c>
      <c r="AB86" s="18">
        <v>0</v>
      </c>
      <c r="AC86" s="18">
        <v>0</v>
      </c>
      <c r="AD86" s="18">
        <v>9</v>
      </c>
      <c r="AE86" s="18">
        <v>2</v>
      </c>
      <c r="AN86" s="3">
        <v>19</v>
      </c>
      <c r="AO86" s="3">
        <v>11</v>
      </c>
      <c r="AP86" s="3">
        <v>1</v>
      </c>
      <c r="AR86" s="2" t="s">
        <v>404</v>
      </c>
    </row>
    <row r="87" spans="1:44" ht="12.75" customHeight="1">
      <c r="A87" s="4">
        <v>16930</v>
      </c>
      <c r="C87" s="2" t="s">
        <v>153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2</v>
      </c>
      <c r="K87" s="18">
        <v>0</v>
      </c>
      <c r="L87" s="18">
        <v>0</v>
      </c>
      <c r="T87" s="3">
        <v>2</v>
      </c>
      <c r="U87" s="3">
        <v>7</v>
      </c>
      <c r="V87" s="3">
        <v>3</v>
      </c>
      <c r="X87" s="2" t="s">
        <v>405</v>
      </c>
      <c r="Y87" s="18">
        <v>1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1</v>
      </c>
      <c r="AF87" s="18">
        <v>1</v>
      </c>
      <c r="AN87" s="3">
        <v>3</v>
      </c>
      <c r="AO87" s="3">
        <v>11</v>
      </c>
      <c r="AP87" s="3">
        <v>3</v>
      </c>
      <c r="AR87" s="2" t="s">
        <v>406</v>
      </c>
    </row>
    <row r="88" spans="1:44" ht="12.75" customHeight="1">
      <c r="A88" s="4">
        <v>16937</v>
      </c>
      <c r="B88" s="2" t="s">
        <v>152</v>
      </c>
      <c r="C88" s="2" t="s">
        <v>184</v>
      </c>
      <c r="E88" s="18">
        <v>1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T88" s="3">
        <v>1</v>
      </c>
      <c r="U88" s="3">
        <v>2</v>
      </c>
      <c r="V88" s="3">
        <v>4</v>
      </c>
      <c r="X88" s="2" t="s">
        <v>1931</v>
      </c>
      <c r="Y88" s="18">
        <v>1</v>
      </c>
      <c r="Z88" s="18">
        <v>0</v>
      </c>
      <c r="AA88" s="18">
        <v>0</v>
      </c>
      <c r="AB88" s="18">
        <v>2</v>
      </c>
      <c r="AC88" s="18">
        <v>0</v>
      </c>
      <c r="AD88" s="18">
        <v>2</v>
      </c>
      <c r="AE88" s="18" t="s">
        <v>162</v>
      </c>
      <c r="AN88" s="3">
        <v>5</v>
      </c>
      <c r="AO88" s="3">
        <v>2</v>
      </c>
      <c r="AP88" s="3">
        <v>0</v>
      </c>
      <c r="AR88" s="2" t="s">
        <v>407</v>
      </c>
    </row>
    <row r="89" spans="1:44" ht="12.75" customHeight="1">
      <c r="A89" s="4">
        <v>16945</v>
      </c>
      <c r="C89" s="2" t="s">
        <v>153</v>
      </c>
      <c r="E89" s="18">
        <v>3</v>
      </c>
      <c r="F89" s="18">
        <v>0</v>
      </c>
      <c r="G89" s="18">
        <v>0</v>
      </c>
      <c r="H89" s="18">
        <v>2</v>
      </c>
      <c r="I89" s="18">
        <v>0</v>
      </c>
      <c r="J89" s="18">
        <v>0</v>
      </c>
      <c r="K89" s="18" t="s">
        <v>162</v>
      </c>
      <c r="T89" s="3">
        <v>5</v>
      </c>
      <c r="U89" s="3">
        <v>9</v>
      </c>
      <c r="V89" s="3">
        <v>0</v>
      </c>
      <c r="X89" s="2" t="s">
        <v>400</v>
      </c>
      <c r="Y89" s="18">
        <v>0</v>
      </c>
      <c r="Z89" s="18">
        <v>1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N89" s="3">
        <v>1</v>
      </c>
      <c r="AO89" s="3">
        <v>4</v>
      </c>
      <c r="AP89" s="3">
        <v>4</v>
      </c>
      <c r="AR89" s="2" t="s">
        <v>408</v>
      </c>
    </row>
    <row r="90" ht="12.75" customHeight="1">
      <c r="A90" s="4"/>
    </row>
    <row r="91" spans="1:45" ht="12.75" customHeight="1">
      <c r="A91" s="4" t="s">
        <v>186</v>
      </c>
      <c r="C91" s="2" t="s">
        <v>169</v>
      </c>
      <c r="T91" s="3">
        <v>5</v>
      </c>
      <c r="U91" s="3" t="s">
        <v>162</v>
      </c>
      <c r="V91" s="3" t="s">
        <v>162</v>
      </c>
      <c r="X91" s="2" t="s">
        <v>27</v>
      </c>
      <c r="AN91" s="3">
        <v>9</v>
      </c>
      <c r="AO91" s="3" t="s">
        <v>162</v>
      </c>
      <c r="AP91" s="3" t="s">
        <v>162</v>
      </c>
      <c r="AR91" s="2" t="s">
        <v>27</v>
      </c>
      <c r="AS91" s="2" t="s">
        <v>204</v>
      </c>
    </row>
    <row r="92" spans="1:46" ht="12.75" customHeight="1">
      <c r="A92" s="4" t="s">
        <v>186</v>
      </c>
      <c r="C92" s="2" t="s">
        <v>330</v>
      </c>
      <c r="T92" s="3">
        <v>5</v>
      </c>
      <c r="U92" s="3" t="s">
        <v>162</v>
      </c>
      <c r="V92" s="3" t="s">
        <v>162</v>
      </c>
      <c r="X92" s="2" t="s">
        <v>27</v>
      </c>
      <c r="AN92" s="3">
        <v>4</v>
      </c>
      <c r="AO92" s="3" t="s">
        <v>162</v>
      </c>
      <c r="AP92" s="3" t="s">
        <v>162</v>
      </c>
      <c r="AR92" s="2" t="s">
        <v>27</v>
      </c>
      <c r="AS92" s="2" t="s">
        <v>188</v>
      </c>
      <c r="AT92" s="2" t="s">
        <v>181</v>
      </c>
    </row>
    <row r="93" spans="1:44" ht="12.75" customHeight="1">
      <c r="A93" s="4">
        <v>17281</v>
      </c>
      <c r="C93" s="2" t="s">
        <v>187</v>
      </c>
      <c r="E93" s="18">
        <v>1</v>
      </c>
      <c r="F93" s="18">
        <v>0</v>
      </c>
      <c r="G93" s="18">
        <v>0</v>
      </c>
      <c r="H93" s="18">
        <v>1</v>
      </c>
      <c r="I93" s="18">
        <v>1</v>
      </c>
      <c r="J93" s="18">
        <v>1</v>
      </c>
      <c r="T93" s="3">
        <v>4</v>
      </c>
      <c r="U93" s="3">
        <v>8</v>
      </c>
      <c r="V93" s="3">
        <v>1</v>
      </c>
      <c r="X93" s="2" t="s">
        <v>72</v>
      </c>
      <c r="Y93" s="18">
        <v>0</v>
      </c>
      <c r="Z93" s="18">
        <v>4</v>
      </c>
      <c r="AA93" s="18">
        <v>1</v>
      </c>
      <c r="AB93" s="18">
        <v>2</v>
      </c>
      <c r="AC93" s="18">
        <v>0</v>
      </c>
      <c r="AD93" s="18">
        <v>1</v>
      </c>
      <c r="AN93" s="3">
        <f>SUM(Y93:AH93)</f>
        <v>8</v>
      </c>
      <c r="AO93" s="3">
        <v>4</v>
      </c>
      <c r="AP93" s="3">
        <v>7</v>
      </c>
      <c r="AR93" s="2" t="s">
        <v>353</v>
      </c>
    </row>
    <row r="94" spans="1:44" ht="12.75" customHeight="1">
      <c r="A94" s="4">
        <v>17287</v>
      </c>
      <c r="C94" s="2" t="s">
        <v>327</v>
      </c>
      <c r="E94" s="18">
        <v>1</v>
      </c>
      <c r="F94" s="18">
        <v>5</v>
      </c>
      <c r="G94" s="18">
        <v>6</v>
      </c>
      <c r="H94" s="18">
        <v>0</v>
      </c>
      <c r="I94" s="18">
        <v>1</v>
      </c>
      <c r="J94" s="18">
        <v>0</v>
      </c>
      <c r="K94" s="18" t="s">
        <v>162</v>
      </c>
      <c r="T94" s="3">
        <v>13</v>
      </c>
      <c r="U94" s="3">
        <v>9</v>
      </c>
      <c r="V94" s="3">
        <v>10</v>
      </c>
      <c r="X94" s="2" t="s">
        <v>73</v>
      </c>
      <c r="Y94" s="18">
        <v>0</v>
      </c>
      <c r="Z94" s="18">
        <v>0</v>
      </c>
      <c r="AA94" s="18">
        <v>0</v>
      </c>
      <c r="AB94" s="18">
        <v>6</v>
      </c>
      <c r="AC94" s="18">
        <v>0</v>
      </c>
      <c r="AD94" s="18">
        <v>0</v>
      </c>
      <c r="AE94" s="18">
        <v>0</v>
      </c>
      <c r="AN94" s="3">
        <f aca="true" t="shared" si="0" ref="AN94:AN99">SUM(Y94:AH94)</f>
        <v>6</v>
      </c>
      <c r="AO94" s="3">
        <v>4</v>
      </c>
      <c r="AP94" s="3">
        <v>4</v>
      </c>
      <c r="AR94" s="2" t="s">
        <v>355</v>
      </c>
    </row>
    <row r="95" spans="1:44" ht="12.75" customHeight="1">
      <c r="A95" s="4">
        <v>17289</v>
      </c>
      <c r="B95" s="2" t="s">
        <v>152</v>
      </c>
      <c r="C95" s="2" t="s">
        <v>169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T95" s="3">
        <v>0</v>
      </c>
      <c r="U95" s="3">
        <v>4</v>
      </c>
      <c r="V95" s="3">
        <v>5</v>
      </c>
      <c r="X95" s="2" t="s">
        <v>1752</v>
      </c>
      <c r="Y95" s="18">
        <v>2</v>
      </c>
      <c r="Z95" s="18">
        <v>4</v>
      </c>
      <c r="AA95" s="18">
        <v>0</v>
      </c>
      <c r="AB95" s="18">
        <v>0</v>
      </c>
      <c r="AC95" s="18">
        <v>1</v>
      </c>
      <c r="AD95" s="18">
        <v>0</v>
      </c>
      <c r="AE95" s="18" t="s">
        <v>162</v>
      </c>
      <c r="AN95" s="3">
        <f t="shared" si="0"/>
        <v>7</v>
      </c>
      <c r="AO95" s="3">
        <v>8</v>
      </c>
      <c r="AP95" s="3">
        <v>2</v>
      </c>
      <c r="AR95" s="2" t="s">
        <v>347</v>
      </c>
    </row>
    <row r="96" spans="1:44" ht="12.75" customHeight="1">
      <c r="A96" s="4">
        <v>17301</v>
      </c>
      <c r="B96" s="2" t="s">
        <v>152</v>
      </c>
      <c r="C96" s="2" t="s">
        <v>327</v>
      </c>
      <c r="E96" s="18">
        <v>3</v>
      </c>
      <c r="F96" s="18">
        <v>0</v>
      </c>
      <c r="G96" s="18">
        <v>0</v>
      </c>
      <c r="H96" s="18">
        <v>1</v>
      </c>
      <c r="I96" s="18">
        <v>1</v>
      </c>
      <c r="J96" s="18">
        <v>0</v>
      </c>
      <c r="T96" s="3">
        <v>5</v>
      </c>
      <c r="U96" s="3">
        <v>6</v>
      </c>
      <c r="V96" s="3">
        <v>0</v>
      </c>
      <c r="X96" s="2" t="s">
        <v>74</v>
      </c>
      <c r="Y96" s="18">
        <v>0</v>
      </c>
      <c r="Z96" s="18">
        <v>2</v>
      </c>
      <c r="AA96" s="18">
        <v>0</v>
      </c>
      <c r="AB96" s="18">
        <v>0</v>
      </c>
      <c r="AC96" s="18">
        <v>1</v>
      </c>
      <c r="AD96" s="18">
        <v>0</v>
      </c>
      <c r="AN96" s="3">
        <f t="shared" si="0"/>
        <v>3</v>
      </c>
      <c r="AO96" s="3">
        <v>3</v>
      </c>
      <c r="AP96" s="3">
        <v>0</v>
      </c>
      <c r="AR96" s="2" t="s">
        <v>359</v>
      </c>
    </row>
    <row r="97" spans="1:44" ht="12.75" customHeight="1">
      <c r="A97" s="4">
        <v>17302</v>
      </c>
      <c r="B97" s="2" t="s">
        <v>152</v>
      </c>
      <c r="C97" s="2" t="s">
        <v>153</v>
      </c>
      <c r="E97" s="18">
        <v>0</v>
      </c>
      <c r="F97" s="18">
        <v>2</v>
      </c>
      <c r="G97" s="18">
        <v>0</v>
      </c>
      <c r="H97" s="18">
        <v>0</v>
      </c>
      <c r="I97" s="18">
        <v>3</v>
      </c>
      <c r="J97" s="18">
        <v>0</v>
      </c>
      <c r="K97" s="18">
        <v>4</v>
      </c>
      <c r="T97" s="3">
        <v>9</v>
      </c>
      <c r="U97" s="3">
        <v>7</v>
      </c>
      <c r="V97" s="3">
        <v>8</v>
      </c>
      <c r="X97" s="2" t="s">
        <v>75</v>
      </c>
      <c r="Y97" s="18">
        <v>4</v>
      </c>
      <c r="Z97" s="18">
        <v>5</v>
      </c>
      <c r="AA97" s="18">
        <v>1</v>
      </c>
      <c r="AB97" s="18">
        <v>0</v>
      </c>
      <c r="AC97" s="18">
        <v>0</v>
      </c>
      <c r="AD97" s="18">
        <v>0</v>
      </c>
      <c r="AE97" s="18" t="s">
        <v>162</v>
      </c>
      <c r="AN97" s="3">
        <f t="shared" si="0"/>
        <v>10</v>
      </c>
      <c r="AO97" s="3">
        <v>7</v>
      </c>
      <c r="AP97" s="3">
        <v>6</v>
      </c>
      <c r="AR97" s="2" t="s">
        <v>356</v>
      </c>
    </row>
    <row r="98" spans="1:44" ht="12.75" customHeight="1">
      <c r="A98" s="4">
        <v>17307</v>
      </c>
      <c r="C98" s="2" t="s">
        <v>153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1</v>
      </c>
      <c r="K98" s="18">
        <v>0</v>
      </c>
      <c r="T98" s="3">
        <v>1</v>
      </c>
      <c r="U98" s="3">
        <v>6</v>
      </c>
      <c r="V98" s="3">
        <v>5</v>
      </c>
      <c r="X98" s="2" t="s">
        <v>74</v>
      </c>
      <c r="Y98" s="18">
        <v>2</v>
      </c>
      <c r="Z98" s="18">
        <v>0</v>
      </c>
      <c r="AA98" s="18">
        <v>1</v>
      </c>
      <c r="AB98" s="18">
        <v>0</v>
      </c>
      <c r="AC98" s="18">
        <v>2</v>
      </c>
      <c r="AD98" s="18">
        <v>0</v>
      </c>
      <c r="AE98" s="18">
        <v>0</v>
      </c>
      <c r="AN98" s="3">
        <f t="shared" si="0"/>
        <v>5</v>
      </c>
      <c r="AO98" s="3">
        <v>7</v>
      </c>
      <c r="AP98" s="3">
        <v>0</v>
      </c>
      <c r="AR98" s="2" t="s">
        <v>357</v>
      </c>
    </row>
    <row r="99" spans="1:44" ht="12.75" customHeight="1">
      <c r="A99" s="4">
        <v>17308</v>
      </c>
      <c r="B99" s="2" t="s">
        <v>152</v>
      </c>
      <c r="C99" s="2" t="s">
        <v>168</v>
      </c>
      <c r="E99" s="18">
        <v>0</v>
      </c>
      <c r="F99" s="18">
        <v>0</v>
      </c>
      <c r="G99" s="18">
        <v>0</v>
      </c>
      <c r="H99" s="18">
        <v>2</v>
      </c>
      <c r="I99" s="18">
        <v>0</v>
      </c>
      <c r="J99" s="18">
        <v>1</v>
      </c>
      <c r="K99" s="18">
        <v>0</v>
      </c>
      <c r="T99" s="3">
        <v>3</v>
      </c>
      <c r="U99" s="3">
        <v>5</v>
      </c>
      <c r="V99" s="3">
        <v>6</v>
      </c>
      <c r="X99" s="2" t="s">
        <v>75</v>
      </c>
      <c r="Y99" s="18">
        <v>0</v>
      </c>
      <c r="Z99" s="18">
        <v>0</v>
      </c>
      <c r="AA99" s="18">
        <v>0</v>
      </c>
      <c r="AB99" s="18">
        <v>4</v>
      </c>
      <c r="AC99" s="18">
        <v>1</v>
      </c>
      <c r="AD99" s="18">
        <v>0</v>
      </c>
      <c r="AE99" s="18" t="s">
        <v>162</v>
      </c>
      <c r="AN99" s="3">
        <f t="shared" si="0"/>
        <v>5</v>
      </c>
      <c r="AO99" s="3">
        <v>5</v>
      </c>
      <c r="AP99" s="3">
        <v>2</v>
      </c>
      <c r="AR99" s="2" t="s">
        <v>358</v>
      </c>
    </row>
    <row r="100" ht="12.75" customHeight="1">
      <c r="A100" s="4"/>
    </row>
    <row r="101" spans="1:45" ht="12.75" customHeight="1">
      <c r="A101" s="4">
        <v>17640</v>
      </c>
      <c r="C101" s="2" t="s">
        <v>153</v>
      </c>
      <c r="E101" s="18">
        <v>0</v>
      </c>
      <c r="F101" s="18">
        <v>0</v>
      </c>
      <c r="G101" s="18">
        <v>1</v>
      </c>
      <c r="H101" s="18">
        <v>1</v>
      </c>
      <c r="I101" s="18">
        <v>0</v>
      </c>
      <c r="J101" s="18">
        <v>0</v>
      </c>
      <c r="T101" s="3">
        <v>2</v>
      </c>
      <c r="U101" s="3">
        <v>3</v>
      </c>
      <c r="V101" s="3">
        <v>4</v>
      </c>
      <c r="X101" s="2" t="s">
        <v>75</v>
      </c>
      <c r="Y101" s="18">
        <v>0</v>
      </c>
      <c r="Z101" s="18">
        <v>0</v>
      </c>
      <c r="AA101" s="18">
        <v>3</v>
      </c>
      <c r="AB101" s="18">
        <v>2</v>
      </c>
      <c r="AC101" s="18">
        <v>0</v>
      </c>
      <c r="AD101" s="18">
        <v>2</v>
      </c>
      <c r="AN101" s="3">
        <v>7</v>
      </c>
      <c r="AO101" s="3">
        <v>10</v>
      </c>
      <c r="AP101" s="3">
        <v>1</v>
      </c>
      <c r="AR101" s="2" t="s">
        <v>346</v>
      </c>
      <c r="AS101" s="2" t="s">
        <v>204</v>
      </c>
    </row>
    <row r="102" spans="1:46" ht="12.75" customHeight="1">
      <c r="A102" s="4" t="s">
        <v>189</v>
      </c>
      <c r="C102" s="2" t="s">
        <v>169</v>
      </c>
      <c r="E102" s="18">
        <v>0</v>
      </c>
      <c r="F102" s="18">
        <v>0</v>
      </c>
      <c r="G102" s="18">
        <v>2</v>
      </c>
      <c r="H102" s="18">
        <v>0</v>
      </c>
      <c r="I102" s="18">
        <v>0</v>
      </c>
      <c r="J102" s="18">
        <v>0</v>
      </c>
      <c r="K102" s="18">
        <v>0</v>
      </c>
      <c r="T102" s="3">
        <v>2</v>
      </c>
      <c r="U102" s="3">
        <v>4</v>
      </c>
      <c r="V102" s="3">
        <v>2</v>
      </c>
      <c r="X102" s="2" t="s">
        <v>1752</v>
      </c>
      <c r="Y102" s="18">
        <v>1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2</v>
      </c>
      <c r="AN102" s="3">
        <v>3</v>
      </c>
      <c r="AO102" s="3">
        <v>4</v>
      </c>
      <c r="AP102" s="3">
        <v>1</v>
      </c>
      <c r="AR102" s="2" t="s">
        <v>347</v>
      </c>
      <c r="AS102" s="2" t="s">
        <v>190</v>
      </c>
      <c r="AT102" s="2" t="s">
        <v>181</v>
      </c>
    </row>
    <row r="103" spans="1:44" ht="12.75" customHeight="1">
      <c r="A103" s="4">
        <v>17664</v>
      </c>
      <c r="C103" s="2" t="s">
        <v>191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T103" s="3">
        <v>0</v>
      </c>
      <c r="U103" s="3">
        <v>0</v>
      </c>
      <c r="V103" s="3">
        <v>8</v>
      </c>
      <c r="X103" s="2" t="s">
        <v>1752</v>
      </c>
      <c r="Y103" s="18">
        <v>2</v>
      </c>
      <c r="Z103" s="18">
        <v>0</v>
      </c>
      <c r="AA103" s="18">
        <v>0</v>
      </c>
      <c r="AB103" s="18">
        <v>0</v>
      </c>
      <c r="AC103" s="18">
        <v>4</v>
      </c>
      <c r="AD103" s="18">
        <v>3</v>
      </c>
      <c r="AE103" s="18">
        <v>0</v>
      </c>
      <c r="AN103" s="3">
        <v>9</v>
      </c>
      <c r="AO103" s="3">
        <v>5</v>
      </c>
      <c r="AP103" s="3">
        <v>2</v>
      </c>
      <c r="AR103" s="2" t="s">
        <v>335</v>
      </c>
    </row>
    <row r="104" spans="1:44" ht="12.75" customHeight="1">
      <c r="A104" s="4">
        <v>17665</v>
      </c>
      <c r="C104" s="2" t="s">
        <v>168</v>
      </c>
      <c r="E104" s="18">
        <v>1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1</v>
      </c>
      <c r="T104" s="3">
        <v>2</v>
      </c>
      <c r="U104" s="3">
        <v>5</v>
      </c>
      <c r="V104" s="3">
        <v>3</v>
      </c>
      <c r="X104" s="2" t="s">
        <v>75</v>
      </c>
      <c r="Y104" s="18">
        <v>1</v>
      </c>
      <c r="Z104" s="18">
        <v>0</v>
      </c>
      <c r="AA104" s="18">
        <v>4</v>
      </c>
      <c r="AB104" s="18">
        <v>4</v>
      </c>
      <c r="AC104" s="18">
        <v>4</v>
      </c>
      <c r="AD104" s="18">
        <v>0</v>
      </c>
      <c r="AE104" s="18">
        <v>0</v>
      </c>
      <c r="AN104" s="3">
        <v>13</v>
      </c>
      <c r="AO104" s="3">
        <v>11</v>
      </c>
      <c r="AP104" s="3">
        <v>4</v>
      </c>
      <c r="AR104" s="2" t="s">
        <v>348</v>
      </c>
    </row>
    <row r="105" spans="1:44" ht="12.75" customHeight="1">
      <c r="A105" s="4">
        <v>17666</v>
      </c>
      <c r="C105" s="2" t="s">
        <v>183</v>
      </c>
      <c r="E105" s="18">
        <v>0</v>
      </c>
      <c r="F105" s="18">
        <v>0</v>
      </c>
      <c r="G105" s="18">
        <v>0</v>
      </c>
      <c r="H105" s="18">
        <v>2</v>
      </c>
      <c r="I105" s="18">
        <v>0</v>
      </c>
      <c r="J105" s="18">
        <v>0</v>
      </c>
      <c r="K105" s="18">
        <v>0</v>
      </c>
      <c r="L105" s="18">
        <v>0</v>
      </c>
      <c r="M105" s="18">
        <v>3</v>
      </c>
      <c r="T105" s="3">
        <v>5</v>
      </c>
      <c r="U105" s="3">
        <v>10</v>
      </c>
      <c r="V105" s="3">
        <v>6</v>
      </c>
      <c r="X105" s="2" t="s">
        <v>77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1</v>
      </c>
      <c r="AE105" s="18">
        <v>1</v>
      </c>
      <c r="AF105" s="18">
        <v>0</v>
      </c>
      <c r="AG105" s="18">
        <v>2</v>
      </c>
      <c r="AN105" s="3">
        <v>4</v>
      </c>
      <c r="AO105" s="3">
        <v>6</v>
      </c>
      <c r="AP105" s="3">
        <v>7</v>
      </c>
      <c r="AR105" s="2" t="s">
        <v>349</v>
      </c>
    </row>
    <row r="106" spans="1:44" ht="12.75" customHeight="1">
      <c r="A106" s="4" t="s">
        <v>189</v>
      </c>
      <c r="B106" s="2" t="s">
        <v>152</v>
      </c>
      <c r="C106" s="2" t="s">
        <v>168</v>
      </c>
      <c r="E106" s="18">
        <v>0</v>
      </c>
      <c r="F106" s="18">
        <v>0</v>
      </c>
      <c r="G106" s="18">
        <v>2</v>
      </c>
      <c r="H106" s="18">
        <v>0</v>
      </c>
      <c r="I106" s="18">
        <v>0</v>
      </c>
      <c r="J106" s="18">
        <v>0</v>
      </c>
      <c r="K106" s="18">
        <v>0</v>
      </c>
      <c r="T106" s="3">
        <v>2</v>
      </c>
      <c r="U106" s="3">
        <v>4</v>
      </c>
      <c r="V106" s="3">
        <v>5</v>
      </c>
      <c r="X106" s="2" t="s">
        <v>78</v>
      </c>
      <c r="Y106" s="18">
        <v>0</v>
      </c>
      <c r="Z106" s="18">
        <v>3</v>
      </c>
      <c r="AA106" s="18">
        <v>2</v>
      </c>
      <c r="AB106" s="18">
        <v>3</v>
      </c>
      <c r="AC106" s="18">
        <v>0</v>
      </c>
      <c r="AD106" s="18">
        <v>0</v>
      </c>
      <c r="AE106" s="18" t="s">
        <v>162</v>
      </c>
      <c r="AN106" s="3">
        <v>8</v>
      </c>
      <c r="AO106" s="3">
        <v>7</v>
      </c>
      <c r="AP106" s="3">
        <v>1</v>
      </c>
      <c r="AR106" s="2" t="s">
        <v>350</v>
      </c>
    </row>
    <row r="107" spans="1:44" ht="12.75" customHeight="1">
      <c r="A107" s="4">
        <v>17673</v>
      </c>
      <c r="B107" s="2" t="s">
        <v>152</v>
      </c>
      <c r="C107" s="2" t="s">
        <v>191</v>
      </c>
      <c r="E107" s="18">
        <v>2</v>
      </c>
      <c r="F107" s="18">
        <v>0</v>
      </c>
      <c r="G107" s="18">
        <v>0</v>
      </c>
      <c r="H107" s="18">
        <v>1</v>
      </c>
      <c r="I107" s="18">
        <v>0</v>
      </c>
      <c r="J107" s="18">
        <v>2</v>
      </c>
      <c r="K107" s="18">
        <v>2</v>
      </c>
      <c r="T107" s="3">
        <v>7</v>
      </c>
      <c r="U107" s="3">
        <v>8</v>
      </c>
      <c r="V107" s="3">
        <v>5</v>
      </c>
      <c r="X107" s="2" t="s">
        <v>75</v>
      </c>
      <c r="Y107" s="18">
        <v>0</v>
      </c>
      <c r="Z107" s="18">
        <v>3</v>
      </c>
      <c r="AA107" s="18">
        <v>0</v>
      </c>
      <c r="AB107" s="18">
        <v>1</v>
      </c>
      <c r="AC107" s="18">
        <v>3</v>
      </c>
      <c r="AD107" s="18">
        <v>1</v>
      </c>
      <c r="AE107" s="18" t="s">
        <v>162</v>
      </c>
      <c r="AN107" s="3">
        <v>8</v>
      </c>
      <c r="AO107" s="3">
        <v>10</v>
      </c>
      <c r="AP107" s="3">
        <v>3</v>
      </c>
      <c r="AR107" s="2" t="s">
        <v>335</v>
      </c>
    </row>
    <row r="108" spans="1:44" ht="12.75" customHeight="1">
      <c r="A108" s="4" t="s">
        <v>189</v>
      </c>
      <c r="C108" s="2" t="s">
        <v>192</v>
      </c>
      <c r="E108" s="18">
        <v>0</v>
      </c>
      <c r="F108" s="18">
        <v>0</v>
      </c>
      <c r="G108" s="18">
        <v>0</v>
      </c>
      <c r="H108" s="18">
        <v>3</v>
      </c>
      <c r="I108" s="18">
        <v>2</v>
      </c>
      <c r="J108" s="18">
        <v>0</v>
      </c>
      <c r="K108" s="18">
        <v>0</v>
      </c>
      <c r="T108" s="3">
        <v>5</v>
      </c>
      <c r="U108" s="3">
        <v>4</v>
      </c>
      <c r="V108" s="3">
        <v>1</v>
      </c>
      <c r="X108" s="2" t="s">
        <v>1752</v>
      </c>
      <c r="Y108" s="18">
        <v>0</v>
      </c>
      <c r="Z108" s="18">
        <v>0</v>
      </c>
      <c r="AA108" s="18">
        <v>1</v>
      </c>
      <c r="AB108" s="18">
        <v>0</v>
      </c>
      <c r="AC108" s="18">
        <v>0</v>
      </c>
      <c r="AD108" s="18">
        <v>0</v>
      </c>
      <c r="AE108" s="18">
        <v>1</v>
      </c>
      <c r="AN108" s="3">
        <v>2</v>
      </c>
      <c r="AO108" s="3">
        <v>5</v>
      </c>
      <c r="AP108" s="3">
        <v>1</v>
      </c>
      <c r="AR108" s="2" t="s">
        <v>338</v>
      </c>
    </row>
    <row r="109" spans="1:44" ht="12.75" customHeight="1">
      <c r="A109" s="4" t="s">
        <v>189</v>
      </c>
      <c r="B109" s="2" t="s">
        <v>152</v>
      </c>
      <c r="C109" s="2" t="s">
        <v>174</v>
      </c>
      <c r="E109" s="18">
        <v>0</v>
      </c>
      <c r="F109" s="18">
        <v>0</v>
      </c>
      <c r="G109" s="18">
        <v>0</v>
      </c>
      <c r="H109" s="18">
        <v>0</v>
      </c>
      <c r="I109" s="18">
        <v>3</v>
      </c>
      <c r="J109" s="18">
        <v>1</v>
      </c>
      <c r="K109" s="18" t="s">
        <v>162</v>
      </c>
      <c r="T109" s="3">
        <v>4</v>
      </c>
      <c r="U109" s="3">
        <v>5</v>
      </c>
      <c r="V109" s="3">
        <v>1</v>
      </c>
      <c r="X109" s="2" t="s">
        <v>76</v>
      </c>
      <c r="Y109" s="18">
        <v>0</v>
      </c>
      <c r="Z109" s="18">
        <v>0</v>
      </c>
      <c r="AA109" s="18">
        <v>0</v>
      </c>
      <c r="AB109" s="18">
        <v>2</v>
      </c>
      <c r="AC109" s="18">
        <v>1</v>
      </c>
      <c r="AD109" s="18">
        <v>0</v>
      </c>
      <c r="AE109" s="18">
        <v>0</v>
      </c>
      <c r="AN109" s="3">
        <v>3</v>
      </c>
      <c r="AO109" s="3">
        <v>2</v>
      </c>
      <c r="AP109" s="3">
        <v>4</v>
      </c>
      <c r="AR109" s="2" t="s">
        <v>351</v>
      </c>
    </row>
    <row r="110" spans="1:44" ht="12.75" customHeight="1">
      <c r="A110" s="4" t="s">
        <v>189</v>
      </c>
      <c r="C110" s="2" t="s">
        <v>192</v>
      </c>
      <c r="E110" s="18">
        <v>2</v>
      </c>
      <c r="F110" s="18">
        <v>0</v>
      </c>
      <c r="G110" s="18">
        <v>0</v>
      </c>
      <c r="H110" s="18">
        <v>4</v>
      </c>
      <c r="I110" s="18">
        <v>2</v>
      </c>
      <c r="J110" s="18">
        <v>1</v>
      </c>
      <c r="K110" s="18" t="s">
        <v>162</v>
      </c>
      <c r="T110" s="3">
        <v>9</v>
      </c>
      <c r="U110" s="3">
        <v>11</v>
      </c>
      <c r="V110" s="3">
        <v>4</v>
      </c>
      <c r="X110" s="2" t="s">
        <v>75</v>
      </c>
      <c r="Y110" s="18">
        <v>0</v>
      </c>
      <c r="Z110" s="18">
        <v>0</v>
      </c>
      <c r="AA110" s="18">
        <v>0</v>
      </c>
      <c r="AB110" s="18">
        <v>0</v>
      </c>
      <c r="AC110" s="18">
        <v>2</v>
      </c>
      <c r="AD110" s="18">
        <v>1</v>
      </c>
      <c r="AE110" s="18">
        <v>0</v>
      </c>
      <c r="AN110" s="3">
        <v>3</v>
      </c>
      <c r="AO110" s="3">
        <v>7</v>
      </c>
      <c r="AP110" s="3">
        <v>2</v>
      </c>
      <c r="AR110" s="2" t="s">
        <v>352</v>
      </c>
    </row>
    <row r="111" ht="12.75" customHeight="1">
      <c r="A111" s="4"/>
    </row>
    <row r="112" spans="1:45" ht="12.75" customHeight="1">
      <c r="A112" s="4">
        <v>18015</v>
      </c>
      <c r="B112" s="2" t="s">
        <v>152</v>
      </c>
      <c r="C112" s="2" t="s">
        <v>153</v>
      </c>
      <c r="E112" s="18">
        <v>0</v>
      </c>
      <c r="F112" s="18">
        <v>0</v>
      </c>
      <c r="G112" s="18">
        <v>0</v>
      </c>
      <c r="H112" s="18">
        <v>2</v>
      </c>
      <c r="I112" s="18">
        <v>2</v>
      </c>
      <c r="J112" s="18">
        <v>0</v>
      </c>
      <c r="K112" s="18">
        <v>0</v>
      </c>
      <c r="T112" s="3">
        <v>4</v>
      </c>
      <c r="U112" s="3">
        <v>8</v>
      </c>
      <c r="V112" s="3">
        <v>5</v>
      </c>
      <c r="X112" s="2" t="s">
        <v>409</v>
      </c>
      <c r="Y112" s="18">
        <v>0</v>
      </c>
      <c r="Z112" s="18">
        <v>0</v>
      </c>
      <c r="AA112" s="18">
        <v>1</v>
      </c>
      <c r="AB112" s="18">
        <v>0</v>
      </c>
      <c r="AC112" s="18">
        <v>0</v>
      </c>
      <c r="AD112" s="18">
        <v>0</v>
      </c>
      <c r="AE112" s="18">
        <v>1</v>
      </c>
      <c r="AN112" s="3">
        <v>2</v>
      </c>
      <c r="AO112" s="3">
        <v>4</v>
      </c>
      <c r="AP112" s="3">
        <v>2</v>
      </c>
      <c r="AR112" s="2" t="s">
        <v>332</v>
      </c>
      <c r="AS112" s="2" t="s">
        <v>204</v>
      </c>
    </row>
    <row r="113" spans="1:46" ht="12.75" customHeight="1">
      <c r="A113" s="4">
        <v>18016</v>
      </c>
      <c r="B113" s="2" t="s">
        <v>152</v>
      </c>
      <c r="C113" s="2" t="s">
        <v>154</v>
      </c>
      <c r="E113" s="18">
        <v>0</v>
      </c>
      <c r="F113" s="18">
        <v>0</v>
      </c>
      <c r="G113" s="18">
        <v>3</v>
      </c>
      <c r="H113" s="18">
        <v>0</v>
      </c>
      <c r="I113" s="18">
        <v>2</v>
      </c>
      <c r="J113" s="18">
        <v>0</v>
      </c>
      <c r="K113" s="18">
        <v>0</v>
      </c>
      <c r="T113" s="3">
        <v>5</v>
      </c>
      <c r="U113" s="3">
        <v>7</v>
      </c>
      <c r="V113" s="3">
        <v>4</v>
      </c>
      <c r="X113" s="2" t="s">
        <v>79</v>
      </c>
      <c r="Y113" s="18">
        <v>0</v>
      </c>
      <c r="Z113" s="18">
        <v>8</v>
      </c>
      <c r="AA113" s="18">
        <v>0</v>
      </c>
      <c r="AB113" s="18">
        <v>3</v>
      </c>
      <c r="AC113" s="18">
        <v>0</v>
      </c>
      <c r="AD113" s="18">
        <v>0</v>
      </c>
      <c r="AE113" s="18" t="s">
        <v>162</v>
      </c>
      <c r="AN113" s="3">
        <v>11</v>
      </c>
      <c r="AO113" s="3">
        <v>8</v>
      </c>
      <c r="AP113" s="3">
        <v>3</v>
      </c>
      <c r="AR113" s="2" t="s">
        <v>333</v>
      </c>
      <c r="AS113" s="2" t="s">
        <v>193</v>
      </c>
      <c r="AT113" s="2" t="s">
        <v>194</v>
      </c>
    </row>
    <row r="114" spans="1:44" ht="12.75" customHeight="1">
      <c r="A114" s="4">
        <v>18018</v>
      </c>
      <c r="C114" s="2" t="s">
        <v>175</v>
      </c>
      <c r="E114" s="18">
        <v>1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1</v>
      </c>
      <c r="T114" s="3">
        <v>2</v>
      </c>
      <c r="U114" s="3">
        <v>7</v>
      </c>
      <c r="V114" s="3">
        <v>1</v>
      </c>
      <c r="X114" s="2" t="s">
        <v>76</v>
      </c>
      <c r="Y114" s="18">
        <v>0</v>
      </c>
      <c r="Z114" s="18">
        <v>0</v>
      </c>
      <c r="AA114" s="18">
        <v>1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N114" s="3">
        <v>1</v>
      </c>
      <c r="AO114" s="3">
        <v>6</v>
      </c>
      <c r="AP114" s="3">
        <v>3</v>
      </c>
      <c r="AR114" s="2" t="s">
        <v>334</v>
      </c>
    </row>
    <row r="115" spans="1:44" ht="12.75" customHeight="1">
      <c r="A115" s="4">
        <v>18048</v>
      </c>
      <c r="C115" s="2" t="s">
        <v>191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1</v>
      </c>
      <c r="K115" s="18" t="s">
        <v>162</v>
      </c>
      <c r="T115" s="3">
        <v>1</v>
      </c>
      <c r="U115" s="3">
        <v>7</v>
      </c>
      <c r="V115" s="3">
        <v>1</v>
      </c>
      <c r="X115" s="2" t="s">
        <v>80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N115" s="3">
        <v>0</v>
      </c>
      <c r="AO115" s="3">
        <v>2</v>
      </c>
      <c r="AP115" s="3">
        <v>1</v>
      </c>
      <c r="AR115" s="2" t="s">
        <v>335</v>
      </c>
    </row>
    <row r="116" spans="1:44" ht="12.75" customHeight="1">
      <c r="A116" s="4">
        <v>18022</v>
      </c>
      <c r="C116" s="2" t="s">
        <v>168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T116" s="3">
        <v>0</v>
      </c>
      <c r="U116" s="3">
        <v>0</v>
      </c>
      <c r="V116" s="3">
        <v>5</v>
      </c>
      <c r="X116" s="2" t="s">
        <v>76</v>
      </c>
      <c r="Y116" s="18">
        <v>0</v>
      </c>
      <c r="Z116" s="18">
        <v>0</v>
      </c>
      <c r="AA116" s="18">
        <v>0</v>
      </c>
      <c r="AB116" s="18">
        <v>0</v>
      </c>
      <c r="AC116" s="18">
        <v>2</v>
      </c>
      <c r="AD116" s="18">
        <v>4</v>
      </c>
      <c r="AE116" s="18">
        <v>0</v>
      </c>
      <c r="AN116" s="3">
        <v>6</v>
      </c>
      <c r="AO116" s="3">
        <v>4</v>
      </c>
      <c r="AP116" s="3">
        <v>2</v>
      </c>
      <c r="AR116" s="2" t="s">
        <v>336</v>
      </c>
    </row>
    <row r="117" spans="1:44" ht="12.75" customHeight="1">
      <c r="A117" s="4">
        <v>18023</v>
      </c>
      <c r="B117" s="2" t="s">
        <v>152</v>
      </c>
      <c r="C117" s="2" t="s">
        <v>195</v>
      </c>
      <c r="E117" s="18">
        <v>0</v>
      </c>
      <c r="F117" s="18">
        <v>0</v>
      </c>
      <c r="G117" s="18">
        <v>3</v>
      </c>
      <c r="H117" s="18">
        <v>2</v>
      </c>
      <c r="I117" s="18">
        <v>0</v>
      </c>
      <c r="J117" s="18">
        <v>0</v>
      </c>
      <c r="K117" s="18">
        <v>1</v>
      </c>
      <c r="T117" s="3">
        <v>6</v>
      </c>
      <c r="U117" s="3">
        <v>8</v>
      </c>
      <c r="V117" s="3">
        <v>2</v>
      </c>
      <c r="X117" s="2" t="s">
        <v>79</v>
      </c>
      <c r="Y117" s="18">
        <v>1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2</v>
      </c>
      <c r="AN117" s="3">
        <v>3</v>
      </c>
      <c r="AO117" s="3">
        <v>4</v>
      </c>
      <c r="AP117" s="3">
        <v>6</v>
      </c>
      <c r="AR117" s="2" t="s">
        <v>337</v>
      </c>
    </row>
    <row r="118" spans="1:44" ht="12.75" customHeight="1">
      <c r="A118" s="4">
        <v>18025</v>
      </c>
      <c r="B118" s="2" t="s">
        <v>152</v>
      </c>
      <c r="C118" s="2" t="s">
        <v>175</v>
      </c>
      <c r="E118" s="18">
        <v>1</v>
      </c>
      <c r="F118" s="18">
        <v>1</v>
      </c>
      <c r="G118" s="18">
        <v>1</v>
      </c>
      <c r="H118" s="18">
        <v>1</v>
      </c>
      <c r="I118" s="18">
        <v>0</v>
      </c>
      <c r="J118" s="18">
        <v>0</v>
      </c>
      <c r="K118" s="18">
        <v>0</v>
      </c>
      <c r="T118" s="3">
        <v>4</v>
      </c>
      <c r="U118" s="3">
        <v>12</v>
      </c>
      <c r="V118" s="3">
        <v>1</v>
      </c>
      <c r="X118" s="2" t="s">
        <v>80</v>
      </c>
      <c r="Y118" s="18">
        <v>0</v>
      </c>
      <c r="Z118" s="18">
        <v>0</v>
      </c>
      <c r="AA118" s="18">
        <v>2</v>
      </c>
      <c r="AB118" s="18">
        <v>0</v>
      </c>
      <c r="AC118" s="18">
        <v>3</v>
      </c>
      <c r="AD118" s="18">
        <v>2</v>
      </c>
      <c r="AE118" s="18" t="s">
        <v>162</v>
      </c>
      <c r="AN118" s="3">
        <v>7</v>
      </c>
      <c r="AO118" s="3">
        <v>6</v>
      </c>
      <c r="AP118" s="3">
        <v>5</v>
      </c>
      <c r="AR118" s="2" t="s">
        <v>334</v>
      </c>
    </row>
    <row r="119" spans="1:44" ht="12.75" customHeight="1">
      <c r="A119" s="4">
        <v>18028</v>
      </c>
      <c r="C119" s="2" t="s">
        <v>192</v>
      </c>
      <c r="E119" s="18">
        <v>0</v>
      </c>
      <c r="F119" s="18">
        <v>0</v>
      </c>
      <c r="G119" s="18">
        <v>1</v>
      </c>
      <c r="H119" s="18">
        <v>3</v>
      </c>
      <c r="I119" s="18">
        <v>0</v>
      </c>
      <c r="J119" s="18">
        <v>0</v>
      </c>
      <c r="K119" s="18">
        <v>0</v>
      </c>
      <c r="T119" s="3">
        <v>4</v>
      </c>
      <c r="U119" s="3">
        <v>4</v>
      </c>
      <c r="V119" s="3">
        <v>6</v>
      </c>
      <c r="X119" s="2" t="s">
        <v>79</v>
      </c>
      <c r="Y119" s="18">
        <v>1</v>
      </c>
      <c r="Z119" s="18">
        <v>1</v>
      </c>
      <c r="AA119" s="18">
        <v>0</v>
      </c>
      <c r="AB119" s="18">
        <v>0</v>
      </c>
      <c r="AC119" s="18">
        <v>0</v>
      </c>
      <c r="AD119" s="18">
        <v>3</v>
      </c>
      <c r="AE119" s="18">
        <v>0</v>
      </c>
      <c r="AN119" s="3">
        <v>5</v>
      </c>
      <c r="AO119" s="3">
        <v>8</v>
      </c>
      <c r="AP119" s="3">
        <v>5</v>
      </c>
      <c r="AR119" s="2" t="s">
        <v>338</v>
      </c>
    </row>
    <row r="120" spans="1:44" ht="12.75" customHeight="1">
      <c r="A120" s="4">
        <v>18029</v>
      </c>
      <c r="B120" s="2" t="s">
        <v>152</v>
      </c>
      <c r="C120" s="2" t="s">
        <v>160</v>
      </c>
      <c r="E120" s="18">
        <v>0</v>
      </c>
      <c r="F120" s="18">
        <v>0</v>
      </c>
      <c r="G120" s="18">
        <v>0</v>
      </c>
      <c r="H120" s="18">
        <v>0</v>
      </c>
      <c r="I120" s="18">
        <v>3</v>
      </c>
      <c r="J120" s="18">
        <v>0</v>
      </c>
      <c r="K120" s="18">
        <v>0</v>
      </c>
      <c r="L120" s="18">
        <v>3</v>
      </c>
      <c r="T120" s="3">
        <v>6</v>
      </c>
      <c r="U120" s="3">
        <v>8</v>
      </c>
      <c r="V120" s="3">
        <v>4</v>
      </c>
      <c r="X120" s="2" t="s">
        <v>80</v>
      </c>
      <c r="Y120" s="18">
        <v>0</v>
      </c>
      <c r="Z120" s="18">
        <v>1</v>
      </c>
      <c r="AA120" s="18">
        <v>0</v>
      </c>
      <c r="AB120" s="18">
        <v>2</v>
      </c>
      <c r="AC120" s="18">
        <v>0</v>
      </c>
      <c r="AD120" s="18">
        <v>0</v>
      </c>
      <c r="AE120" s="18">
        <v>0</v>
      </c>
      <c r="AF120" s="18">
        <v>0</v>
      </c>
      <c r="AN120" s="3">
        <v>3</v>
      </c>
      <c r="AO120" s="3">
        <v>4</v>
      </c>
      <c r="AP120" s="3">
        <v>4</v>
      </c>
      <c r="AR120" s="2" t="s">
        <v>339</v>
      </c>
    </row>
    <row r="121" spans="1:44" ht="12.75" customHeight="1">
      <c r="A121" s="4">
        <v>18030</v>
      </c>
      <c r="B121" s="2" t="s">
        <v>152</v>
      </c>
      <c r="C121" s="2" t="s">
        <v>191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1</v>
      </c>
      <c r="K121" s="18">
        <v>0</v>
      </c>
      <c r="T121" s="3">
        <v>1</v>
      </c>
      <c r="U121" s="3">
        <v>2</v>
      </c>
      <c r="V121" s="3">
        <v>7</v>
      </c>
      <c r="X121" s="2" t="s">
        <v>76</v>
      </c>
      <c r="Y121" s="18">
        <v>0</v>
      </c>
      <c r="Z121" s="18">
        <v>1</v>
      </c>
      <c r="AA121" s="18">
        <v>0</v>
      </c>
      <c r="AB121" s="18">
        <v>1</v>
      </c>
      <c r="AC121" s="18">
        <v>1</v>
      </c>
      <c r="AD121" s="18">
        <v>3</v>
      </c>
      <c r="AE121" s="18" t="s">
        <v>162</v>
      </c>
      <c r="AN121" s="3">
        <v>6</v>
      </c>
      <c r="AO121" s="3">
        <v>5</v>
      </c>
      <c r="AP121" s="3">
        <v>6</v>
      </c>
      <c r="AR121" s="2" t="s">
        <v>340</v>
      </c>
    </row>
    <row r="122" spans="1:44" ht="12.75" customHeight="1">
      <c r="A122" s="4">
        <v>18032</v>
      </c>
      <c r="C122" s="2" t="s">
        <v>330</v>
      </c>
      <c r="E122" s="18">
        <v>0</v>
      </c>
      <c r="F122" s="18">
        <v>0</v>
      </c>
      <c r="G122" s="18">
        <v>2</v>
      </c>
      <c r="H122" s="18">
        <v>1</v>
      </c>
      <c r="I122" s="18">
        <v>6</v>
      </c>
      <c r="J122" s="18">
        <v>2</v>
      </c>
      <c r="K122" s="18" t="s">
        <v>162</v>
      </c>
      <c r="T122" s="3">
        <v>11</v>
      </c>
      <c r="U122" s="3">
        <v>8</v>
      </c>
      <c r="V122" s="3">
        <v>1</v>
      </c>
      <c r="X122" s="2" t="s">
        <v>79</v>
      </c>
      <c r="Y122" s="18"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  <c r="AE122" s="18">
        <v>0</v>
      </c>
      <c r="AN122" s="3">
        <v>0</v>
      </c>
      <c r="AO122" s="3">
        <v>0</v>
      </c>
      <c r="AP122" s="3">
        <v>2</v>
      </c>
      <c r="AR122" s="2" t="s">
        <v>341</v>
      </c>
    </row>
    <row r="123" spans="1:44" ht="12.75" customHeight="1">
      <c r="A123" s="4">
        <v>18035</v>
      </c>
      <c r="C123" s="2" t="s">
        <v>195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2</v>
      </c>
      <c r="T123" s="3">
        <v>2</v>
      </c>
      <c r="U123" s="3">
        <v>5</v>
      </c>
      <c r="V123" s="3">
        <v>0</v>
      </c>
      <c r="X123" s="2" t="s">
        <v>79</v>
      </c>
      <c r="Y123" s="18">
        <v>1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N123" s="3">
        <v>1</v>
      </c>
      <c r="AO123" s="3">
        <v>5</v>
      </c>
      <c r="AP123" s="3">
        <v>2</v>
      </c>
      <c r="AR123" s="2" t="s">
        <v>342</v>
      </c>
    </row>
    <row r="124" spans="1:44" ht="12.75" customHeight="1">
      <c r="A124" s="4">
        <v>18036</v>
      </c>
      <c r="B124" s="2" t="s">
        <v>152</v>
      </c>
      <c r="C124" s="2" t="s">
        <v>168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1</v>
      </c>
      <c r="T124" s="3">
        <v>1</v>
      </c>
      <c r="U124" s="3">
        <v>3</v>
      </c>
      <c r="V124" s="3">
        <v>5</v>
      </c>
      <c r="X124" s="2" t="s">
        <v>80</v>
      </c>
      <c r="Y124" s="18">
        <v>1</v>
      </c>
      <c r="Z124" s="18">
        <v>0</v>
      </c>
      <c r="AA124" s="18">
        <v>3</v>
      </c>
      <c r="AB124" s="18">
        <v>0</v>
      </c>
      <c r="AC124" s="18">
        <v>5</v>
      </c>
      <c r="AD124" s="18">
        <v>0</v>
      </c>
      <c r="AE124" s="18" t="s">
        <v>162</v>
      </c>
      <c r="AN124" s="3">
        <v>9</v>
      </c>
      <c r="AO124" s="3">
        <v>8</v>
      </c>
      <c r="AP124" s="3">
        <v>1</v>
      </c>
      <c r="AR124" s="2" t="s">
        <v>343</v>
      </c>
    </row>
    <row r="125" spans="1:44" ht="12.75" customHeight="1">
      <c r="A125" s="4">
        <v>18042</v>
      </c>
      <c r="B125" s="2" t="s">
        <v>152</v>
      </c>
      <c r="C125" s="2" t="s">
        <v>330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T125" s="3">
        <v>0</v>
      </c>
      <c r="U125" s="3">
        <v>2</v>
      </c>
      <c r="V125" s="3">
        <v>2</v>
      </c>
      <c r="X125" s="2" t="s">
        <v>79</v>
      </c>
      <c r="Y125" s="18">
        <v>1</v>
      </c>
      <c r="Z125" s="18">
        <v>0</v>
      </c>
      <c r="AA125" s="18">
        <v>1</v>
      </c>
      <c r="AB125" s="18">
        <v>0</v>
      </c>
      <c r="AC125" s="18">
        <v>0</v>
      </c>
      <c r="AD125" s="18">
        <v>0</v>
      </c>
      <c r="AE125" s="18" t="s">
        <v>162</v>
      </c>
      <c r="AN125" s="3">
        <v>2</v>
      </c>
      <c r="AO125" s="3">
        <v>3</v>
      </c>
      <c r="AP125" s="3">
        <v>1</v>
      </c>
      <c r="AR125" s="2" t="s">
        <v>344</v>
      </c>
    </row>
    <row r="126" spans="1:44" ht="12.75" customHeight="1">
      <c r="A126" s="4">
        <v>18046</v>
      </c>
      <c r="B126" s="2" t="s">
        <v>152</v>
      </c>
      <c r="C126" s="2" t="s">
        <v>174</v>
      </c>
      <c r="E126" s="18">
        <v>0</v>
      </c>
      <c r="F126" s="18">
        <v>0</v>
      </c>
      <c r="G126" s="18">
        <v>3</v>
      </c>
      <c r="H126" s="18">
        <v>1</v>
      </c>
      <c r="I126" s="18">
        <v>0</v>
      </c>
      <c r="J126" s="18">
        <v>0</v>
      </c>
      <c r="K126" s="18">
        <v>0</v>
      </c>
      <c r="T126" s="3">
        <v>4</v>
      </c>
      <c r="U126" s="3">
        <v>4</v>
      </c>
      <c r="V126" s="3">
        <v>0</v>
      </c>
      <c r="X126" s="2" t="s">
        <v>80</v>
      </c>
      <c r="Y126" s="18">
        <v>0</v>
      </c>
      <c r="Z126" s="18">
        <v>0</v>
      </c>
      <c r="AA126" s="18">
        <v>1</v>
      </c>
      <c r="AB126" s="18">
        <v>0</v>
      </c>
      <c r="AC126" s="18">
        <v>1</v>
      </c>
      <c r="AD126" s="18">
        <v>1</v>
      </c>
      <c r="AE126" s="18">
        <v>0</v>
      </c>
      <c r="AN126" s="3">
        <v>3</v>
      </c>
      <c r="AO126" s="3">
        <v>3</v>
      </c>
      <c r="AP126" s="3">
        <v>1</v>
      </c>
      <c r="AR126" s="2" t="s">
        <v>2375</v>
      </c>
    </row>
    <row r="127" ht="12.75" customHeight="1">
      <c r="A127" s="4"/>
    </row>
    <row r="128" spans="1:45" ht="12.75" customHeight="1">
      <c r="A128" s="4">
        <v>18378</v>
      </c>
      <c r="B128" s="2" t="s">
        <v>152</v>
      </c>
      <c r="C128" s="2" t="s">
        <v>153</v>
      </c>
      <c r="E128" s="18">
        <v>0</v>
      </c>
      <c r="F128" s="18">
        <v>3</v>
      </c>
      <c r="G128" s="18">
        <v>1</v>
      </c>
      <c r="H128" s="18">
        <v>0</v>
      </c>
      <c r="I128" s="18">
        <v>2</v>
      </c>
      <c r="J128" s="18">
        <v>2</v>
      </c>
      <c r="K128" s="18">
        <v>2</v>
      </c>
      <c r="T128" s="3">
        <f aca="true" t="shared" si="1" ref="T128:T137">SUM(E128:M128)</f>
        <v>10</v>
      </c>
      <c r="U128" s="3">
        <v>8</v>
      </c>
      <c r="V128" s="3">
        <v>2</v>
      </c>
      <c r="X128" s="2" t="s">
        <v>409</v>
      </c>
      <c r="Y128" s="18">
        <v>0</v>
      </c>
      <c r="Z128" s="18">
        <v>2</v>
      </c>
      <c r="AA128" s="18">
        <v>0</v>
      </c>
      <c r="AB128" s="18">
        <v>1</v>
      </c>
      <c r="AC128" s="18">
        <v>0</v>
      </c>
      <c r="AD128" s="18">
        <v>0</v>
      </c>
      <c r="AE128" s="18">
        <v>0</v>
      </c>
      <c r="AN128" s="3">
        <v>3</v>
      </c>
      <c r="AO128" s="3">
        <v>1</v>
      </c>
      <c r="AP128" s="3">
        <v>7</v>
      </c>
      <c r="AR128" s="2" t="s">
        <v>1932</v>
      </c>
      <c r="AS128" s="2" t="s">
        <v>204</v>
      </c>
    </row>
    <row r="129" spans="1:46" ht="12.75" customHeight="1">
      <c r="A129" s="4">
        <v>18379</v>
      </c>
      <c r="C129" s="2" t="s">
        <v>191</v>
      </c>
      <c r="E129" s="18">
        <v>1</v>
      </c>
      <c r="F129" s="18">
        <v>0</v>
      </c>
      <c r="G129" s="18">
        <v>0</v>
      </c>
      <c r="H129" s="18">
        <v>7</v>
      </c>
      <c r="I129" s="18">
        <v>0</v>
      </c>
      <c r="J129" s="18">
        <v>0</v>
      </c>
      <c r="K129" s="18" t="s">
        <v>162</v>
      </c>
      <c r="T129" s="3">
        <f t="shared" si="1"/>
        <v>8</v>
      </c>
      <c r="U129" s="3">
        <v>5</v>
      </c>
      <c r="V129" s="3">
        <v>6</v>
      </c>
      <c r="X129" s="2" t="s">
        <v>1933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2</v>
      </c>
      <c r="AE129" s="18">
        <v>4</v>
      </c>
      <c r="AN129" s="3">
        <v>6</v>
      </c>
      <c r="AO129" s="3">
        <v>4</v>
      </c>
      <c r="AP129" s="3">
        <v>1</v>
      </c>
      <c r="AR129" s="2" t="s">
        <v>1934</v>
      </c>
      <c r="AS129" s="2" t="s">
        <v>196</v>
      </c>
      <c r="AT129" s="2" t="s">
        <v>197</v>
      </c>
    </row>
    <row r="130" spans="1:44" ht="12.75" customHeight="1">
      <c r="A130" s="4">
        <v>18381</v>
      </c>
      <c r="B130" s="2" t="s">
        <v>152</v>
      </c>
      <c r="C130" s="2" t="s">
        <v>175</v>
      </c>
      <c r="E130" s="18">
        <v>0</v>
      </c>
      <c r="F130" s="18">
        <v>2</v>
      </c>
      <c r="G130" s="18">
        <v>0</v>
      </c>
      <c r="H130" s="18">
        <v>0</v>
      </c>
      <c r="I130" s="18">
        <v>1</v>
      </c>
      <c r="J130" s="18">
        <v>2</v>
      </c>
      <c r="K130" s="18">
        <v>1</v>
      </c>
      <c r="T130" s="3">
        <f t="shared" si="1"/>
        <v>6</v>
      </c>
      <c r="U130" s="3">
        <v>9</v>
      </c>
      <c r="V130" s="3">
        <v>3</v>
      </c>
      <c r="X130" s="2" t="s">
        <v>410</v>
      </c>
      <c r="Y130" s="18">
        <v>0</v>
      </c>
      <c r="Z130" s="18">
        <v>1</v>
      </c>
      <c r="AA130" s="18">
        <v>0</v>
      </c>
      <c r="AB130" s="18">
        <v>1</v>
      </c>
      <c r="AC130" s="18">
        <v>1</v>
      </c>
      <c r="AD130" s="18">
        <v>0</v>
      </c>
      <c r="AE130" s="18">
        <v>1</v>
      </c>
      <c r="AN130" s="3">
        <v>4</v>
      </c>
      <c r="AO130" s="3">
        <v>7</v>
      </c>
      <c r="AP130" s="3">
        <v>8</v>
      </c>
      <c r="AR130" s="2" t="s">
        <v>1935</v>
      </c>
    </row>
    <row r="131" spans="1:44" ht="12.75" customHeight="1">
      <c r="A131" s="4">
        <v>18385</v>
      </c>
      <c r="C131" s="2" t="s">
        <v>168</v>
      </c>
      <c r="E131" s="18">
        <v>2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1</v>
      </c>
      <c r="T131" s="3">
        <f t="shared" si="1"/>
        <v>3</v>
      </c>
      <c r="U131" s="3">
        <v>10</v>
      </c>
      <c r="V131" s="3">
        <v>1</v>
      </c>
      <c r="X131" s="2" t="s">
        <v>409</v>
      </c>
      <c r="Y131" s="18">
        <v>1</v>
      </c>
      <c r="Z131" s="18">
        <v>0</v>
      </c>
      <c r="AA131" s="18">
        <v>0</v>
      </c>
      <c r="AB131" s="18">
        <v>1</v>
      </c>
      <c r="AC131" s="18">
        <v>2</v>
      </c>
      <c r="AD131" s="18">
        <v>0</v>
      </c>
      <c r="AE131" s="18">
        <v>0</v>
      </c>
      <c r="AN131" s="3">
        <v>4</v>
      </c>
      <c r="AO131" s="3">
        <v>3</v>
      </c>
      <c r="AP131" s="3">
        <v>2</v>
      </c>
      <c r="AR131" s="2" t="s">
        <v>1936</v>
      </c>
    </row>
    <row r="132" spans="1:44" ht="12.75" customHeight="1">
      <c r="A132" s="4">
        <v>18387</v>
      </c>
      <c r="B132" s="2" t="s">
        <v>152</v>
      </c>
      <c r="C132" s="2" t="s">
        <v>331</v>
      </c>
      <c r="E132" s="18">
        <v>0</v>
      </c>
      <c r="F132" s="18">
        <v>0</v>
      </c>
      <c r="G132" s="18">
        <v>0</v>
      </c>
      <c r="H132" s="18">
        <v>0</v>
      </c>
      <c r="I132" s="18">
        <v>1</v>
      </c>
      <c r="J132" s="18">
        <v>2</v>
      </c>
      <c r="K132" s="18">
        <v>1</v>
      </c>
      <c r="L132" s="18">
        <v>0</v>
      </c>
      <c r="T132" s="3">
        <f t="shared" si="1"/>
        <v>4</v>
      </c>
      <c r="U132" s="3">
        <v>6</v>
      </c>
      <c r="V132" s="3">
        <v>5</v>
      </c>
      <c r="X132" s="2" t="s">
        <v>1933</v>
      </c>
      <c r="Y132" s="18">
        <v>0</v>
      </c>
      <c r="Z132" s="18">
        <v>0</v>
      </c>
      <c r="AA132" s="18">
        <v>0</v>
      </c>
      <c r="AB132" s="18">
        <v>0</v>
      </c>
      <c r="AC132" s="18">
        <v>2</v>
      </c>
      <c r="AD132" s="18">
        <v>0</v>
      </c>
      <c r="AE132" s="18">
        <v>2</v>
      </c>
      <c r="AF132" s="18">
        <v>1</v>
      </c>
      <c r="AN132" s="3">
        <v>5</v>
      </c>
      <c r="AO132" s="3">
        <v>6</v>
      </c>
      <c r="AP132" s="3">
        <v>3</v>
      </c>
      <c r="AR132" s="2" t="s">
        <v>411</v>
      </c>
    </row>
    <row r="133" spans="1:44" ht="12.75" customHeight="1">
      <c r="A133" s="4">
        <v>18388</v>
      </c>
      <c r="C133" s="2" t="s">
        <v>175</v>
      </c>
      <c r="E133" s="18">
        <v>5</v>
      </c>
      <c r="F133" s="18">
        <v>0</v>
      </c>
      <c r="G133" s="18">
        <v>1</v>
      </c>
      <c r="H133" s="18">
        <v>2</v>
      </c>
      <c r="I133" s="18">
        <v>0</v>
      </c>
      <c r="J133" s="18">
        <v>3</v>
      </c>
      <c r="K133" s="18" t="s">
        <v>162</v>
      </c>
      <c r="T133" s="3">
        <f t="shared" si="1"/>
        <v>11</v>
      </c>
      <c r="U133" s="3">
        <v>9</v>
      </c>
      <c r="V133" s="3">
        <v>1</v>
      </c>
      <c r="X133" s="2" t="s">
        <v>412</v>
      </c>
      <c r="Y133" s="18">
        <v>0</v>
      </c>
      <c r="Z133" s="18">
        <v>0</v>
      </c>
      <c r="AA133" s="18">
        <v>1</v>
      </c>
      <c r="AB133" s="18">
        <v>0</v>
      </c>
      <c r="AC133" s="18">
        <v>0</v>
      </c>
      <c r="AD133" s="18">
        <v>0</v>
      </c>
      <c r="AE133" s="18">
        <v>0</v>
      </c>
      <c r="AN133" s="3">
        <v>1</v>
      </c>
      <c r="AO133" s="3">
        <v>6</v>
      </c>
      <c r="AP133" s="3">
        <v>3</v>
      </c>
      <c r="AR133" s="2" t="s">
        <v>1937</v>
      </c>
    </row>
    <row r="134" spans="1:44" ht="12.75" customHeight="1">
      <c r="A134" s="4">
        <v>18394</v>
      </c>
      <c r="C134" s="2" t="s">
        <v>367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2</v>
      </c>
      <c r="L134" s="18">
        <v>2</v>
      </c>
      <c r="T134" s="3">
        <f t="shared" si="1"/>
        <v>4</v>
      </c>
      <c r="U134" s="3">
        <v>7</v>
      </c>
      <c r="V134" s="3">
        <v>4</v>
      </c>
      <c r="X134" s="2" t="s">
        <v>413</v>
      </c>
      <c r="Y134" s="18">
        <v>1</v>
      </c>
      <c r="Z134" s="18">
        <v>0</v>
      </c>
      <c r="AA134" s="18">
        <v>0</v>
      </c>
      <c r="AB134" s="18">
        <v>0</v>
      </c>
      <c r="AC134" s="18">
        <v>0</v>
      </c>
      <c r="AD134" s="18">
        <v>1</v>
      </c>
      <c r="AE134" s="18">
        <v>0</v>
      </c>
      <c r="AF134" s="18">
        <v>1</v>
      </c>
      <c r="AN134" s="3">
        <v>3</v>
      </c>
      <c r="AO134" s="3">
        <v>3</v>
      </c>
      <c r="AP134" s="3">
        <v>2</v>
      </c>
      <c r="AR134" s="2" t="s">
        <v>1938</v>
      </c>
    </row>
    <row r="135" spans="1:44" ht="12.75" customHeight="1">
      <c r="A135" s="4">
        <v>18395</v>
      </c>
      <c r="C135" s="2" t="s">
        <v>174</v>
      </c>
      <c r="E135" s="18">
        <v>3</v>
      </c>
      <c r="F135" s="18">
        <v>0</v>
      </c>
      <c r="G135" s="18">
        <v>9</v>
      </c>
      <c r="H135" s="18">
        <v>0</v>
      </c>
      <c r="I135" s="18">
        <v>1</v>
      </c>
      <c r="J135" s="18">
        <v>4</v>
      </c>
      <c r="K135" s="18" t="s">
        <v>162</v>
      </c>
      <c r="T135" s="3">
        <f t="shared" si="1"/>
        <v>17</v>
      </c>
      <c r="U135" s="3">
        <v>10</v>
      </c>
      <c r="V135" s="3">
        <v>2</v>
      </c>
      <c r="X135" s="2" t="s">
        <v>414</v>
      </c>
      <c r="Y135" s="18">
        <v>0</v>
      </c>
      <c r="Z135" s="18">
        <v>0</v>
      </c>
      <c r="AA135" s="18">
        <v>0</v>
      </c>
      <c r="AB135" s="18">
        <v>0</v>
      </c>
      <c r="AC135" s="18">
        <v>1</v>
      </c>
      <c r="AD135" s="18">
        <v>2</v>
      </c>
      <c r="AE135" s="18">
        <v>0</v>
      </c>
      <c r="AN135" s="3">
        <v>3</v>
      </c>
      <c r="AO135" s="3">
        <v>3</v>
      </c>
      <c r="AP135" s="3">
        <v>10</v>
      </c>
      <c r="AR135" s="2" t="s">
        <v>2374</v>
      </c>
    </row>
    <row r="136" spans="1:44" ht="12.75" customHeight="1">
      <c r="A136" s="4">
        <v>18399</v>
      </c>
      <c r="B136" s="2" t="s">
        <v>152</v>
      </c>
      <c r="C136" s="2" t="s">
        <v>168</v>
      </c>
      <c r="E136" s="18">
        <v>0</v>
      </c>
      <c r="F136" s="18">
        <v>0</v>
      </c>
      <c r="G136" s="18">
        <v>0</v>
      </c>
      <c r="H136" s="18">
        <v>0</v>
      </c>
      <c r="I136" s="18">
        <v>1</v>
      </c>
      <c r="J136" s="18">
        <v>0</v>
      </c>
      <c r="K136" s="18">
        <v>0</v>
      </c>
      <c r="T136" s="3">
        <f t="shared" si="1"/>
        <v>1</v>
      </c>
      <c r="U136" s="3">
        <v>2</v>
      </c>
      <c r="V136" s="3">
        <v>1</v>
      </c>
      <c r="X136" s="2" t="s">
        <v>415</v>
      </c>
      <c r="Y136" s="18">
        <v>1</v>
      </c>
      <c r="Z136" s="18">
        <v>0</v>
      </c>
      <c r="AA136" s="18">
        <v>1</v>
      </c>
      <c r="AB136" s="18">
        <v>0</v>
      </c>
      <c r="AC136" s="18">
        <v>0</v>
      </c>
      <c r="AD136" s="18">
        <v>1</v>
      </c>
      <c r="AE136" s="18" t="s">
        <v>162</v>
      </c>
      <c r="AN136" s="3">
        <v>3</v>
      </c>
      <c r="AO136" s="3">
        <v>5</v>
      </c>
      <c r="AP136" s="3">
        <v>2</v>
      </c>
      <c r="AR136" s="2" t="s">
        <v>416</v>
      </c>
    </row>
    <row r="137" spans="1:44" ht="12.75" customHeight="1">
      <c r="A137" s="4">
        <v>18407</v>
      </c>
      <c r="B137" s="2" t="s">
        <v>152</v>
      </c>
      <c r="C137" s="2" t="s">
        <v>367</v>
      </c>
      <c r="E137" s="18">
        <v>1</v>
      </c>
      <c r="F137" s="18">
        <v>1</v>
      </c>
      <c r="G137" s="18">
        <v>0</v>
      </c>
      <c r="H137" s="18">
        <v>0</v>
      </c>
      <c r="I137" s="18">
        <v>3</v>
      </c>
      <c r="J137" s="18">
        <v>0</v>
      </c>
      <c r="K137" s="18">
        <v>0</v>
      </c>
      <c r="L137" s="18">
        <v>0</v>
      </c>
      <c r="M137" s="18">
        <v>9</v>
      </c>
      <c r="T137" s="3">
        <f t="shared" si="1"/>
        <v>14</v>
      </c>
      <c r="U137" s="3">
        <v>13</v>
      </c>
      <c r="V137" s="3">
        <v>6</v>
      </c>
      <c r="X137" s="2" t="s">
        <v>1939</v>
      </c>
      <c r="Y137" s="18">
        <v>0</v>
      </c>
      <c r="Z137" s="18">
        <v>3</v>
      </c>
      <c r="AA137" s="18">
        <v>0</v>
      </c>
      <c r="AB137" s="18">
        <v>2</v>
      </c>
      <c r="AC137" s="18">
        <v>0</v>
      </c>
      <c r="AD137" s="18">
        <v>0</v>
      </c>
      <c r="AE137" s="18">
        <v>0</v>
      </c>
      <c r="AF137" s="18">
        <v>0</v>
      </c>
      <c r="AG137" s="18">
        <v>2</v>
      </c>
      <c r="AN137" s="3">
        <v>7</v>
      </c>
      <c r="AO137" s="3">
        <v>7</v>
      </c>
      <c r="AP137" s="3">
        <v>6</v>
      </c>
      <c r="AR137" s="2" t="s">
        <v>1940</v>
      </c>
    </row>
    <row r="138" ht="12.75" customHeight="1">
      <c r="A138" s="4"/>
    </row>
    <row r="139" spans="1:45" ht="12.75" customHeight="1">
      <c r="A139" s="4">
        <f>DATE(51,4,19)</f>
        <v>18737</v>
      </c>
      <c r="C139" s="2" t="s">
        <v>331</v>
      </c>
      <c r="E139" s="18">
        <v>4</v>
      </c>
      <c r="F139" s="18">
        <v>0</v>
      </c>
      <c r="G139" s="18">
        <v>0</v>
      </c>
      <c r="H139" s="18">
        <v>0</v>
      </c>
      <c r="I139" s="18">
        <v>1</v>
      </c>
      <c r="J139" s="18">
        <v>0</v>
      </c>
      <c r="K139" s="18" t="s">
        <v>162</v>
      </c>
      <c r="T139" s="3">
        <f aca="true" t="shared" si="2" ref="T139:T149">SUM(E139:M139)</f>
        <v>5</v>
      </c>
      <c r="U139" s="3">
        <v>5</v>
      </c>
      <c r="V139" s="3">
        <v>3</v>
      </c>
      <c r="X139" s="2" t="s">
        <v>417</v>
      </c>
      <c r="Y139" s="18">
        <v>0</v>
      </c>
      <c r="Z139" s="18">
        <v>1</v>
      </c>
      <c r="AA139" s="18">
        <v>2</v>
      </c>
      <c r="AB139" s="18">
        <v>0</v>
      </c>
      <c r="AC139" s="18">
        <v>0</v>
      </c>
      <c r="AD139" s="18">
        <v>0</v>
      </c>
      <c r="AE139" s="18">
        <v>0</v>
      </c>
      <c r="AN139" s="3">
        <v>3</v>
      </c>
      <c r="AO139" s="3">
        <v>4</v>
      </c>
      <c r="AP139" s="3">
        <v>3</v>
      </c>
      <c r="AR139" s="2" t="s">
        <v>418</v>
      </c>
      <c r="AS139" s="2" t="s">
        <v>204</v>
      </c>
    </row>
    <row r="140" spans="1:46" ht="12.75" customHeight="1">
      <c r="A140" s="4">
        <f>DATE(51,4,20)</f>
        <v>18738</v>
      </c>
      <c r="C140" s="2" t="s">
        <v>367</v>
      </c>
      <c r="E140" s="18">
        <v>0</v>
      </c>
      <c r="F140" s="18">
        <v>0</v>
      </c>
      <c r="G140" s="18">
        <v>0</v>
      </c>
      <c r="H140" s="18">
        <v>1</v>
      </c>
      <c r="I140" s="18">
        <v>0</v>
      </c>
      <c r="J140" s="18">
        <v>4</v>
      </c>
      <c r="K140" s="18">
        <v>0</v>
      </c>
      <c r="T140" s="3">
        <f t="shared" si="2"/>
        <v>5</v>
      </c>
      <c r="U140" s="3">
        <v>10</v>
      </c>
      <c r="V140" s="3">
        <v>4</v>
      </c>
      <c r="X140" s="2" t="s">
        <v>419</v>
      </c>
      <c r="Y140" s="18">
        <v>3</v>
      </c>
      <c r="Z140" s="18">
        <v>0</v>
      </c>
      <c r="AA140" s="18">
        <v>1</v>
      </c>
      <c r="AB140" s="18">
        <v>1</v>
      </c>
      <c r="AC140" s="18">
        <v>0</v>
      </c>
      <c r="AD140" s="18">
        <v>0</v>
      </c>
      <c r="AE140" s="18">
        <v>2</v>
      </c>
      <c r="AN140" s="3">
        <v>7</v>
      </c>
      <c r="AO140" s="3">
        <v>7</v>
      </c>
      <c r="AP140" s="3">
        <v>4</v>
      </c>
      <c r="AR140" s="2" t="s">
        <v>1941</v>
      </c>
      <c r="AS140" s="2" t="s">
        <v>198</v>
      </c>
      <c r="AT140" s="2" t="s">
        <v>194</v>
      </c>
    </row>
    <row r="141" spans="1:44" ht="12.75" customHeight="1">
      <c r="A141" s="4">
        <f>DATE(51,4,25)</f>
        <v>18743</v>
      </c>
      <c r="B141" s="2" t="s">
        <v>152</v>
      </c>
      <c r="C141" s="2" t="s">
        <v>153</v>
      </c>
      <c r="E141" s="18">
        <v>0</v>
      </c>
      <c r="F141" s="18">
        <v>2</v>
      </c>
      <c r="G141" s="18">
        <v>0</v>
      </c>
      <c r="H141" s="18">
        <v>0</v>
      </c>
      <c r="I141" s="18">
        <v>0</v>
      </c>
      <c r="J141" s="18">
        <v>2</v>
      </c>
      <c r="K141" s="18">
        <v>1</v>
      </c>
      <c r="T141" s="3">
        <f t="shared" si="2"/>
        <v>5</v>
      </c>
      <c r="U141" s="3">
        <v>8</v>
      </c>
      <c r="V141" s="3">
        <v>1</v>
      </c>
      <c r="X141" s="2" t="s">
        <v>1942</v>
      </c>
      <c r="Y141" s="18">
        <v>0</v>
      </c>
      <c r="Z141" s="18">
        <v>1</v>
      </c>
      <c r="AA141" s="18">
        <v>0</v>
      </c>
      <c r="AB141" s="18">
        <v>1</v>
      </c>
      <c r="AC141" s="18">
        <v>0</v>
      </c>
      <c r="AD141" s="18">
        <v>0</v>
      </c>
      <c r="AE141" s="18">
        <v>0</v>
      </c>
      <c r="AN141" s="3">
        <v>2</v>
      </c>
      <c r="AO141" s="3">
        <v>6</v>
      </c>
      <c r="AP141" s="3">
        <v>1</v>
      </c>
      <c r="AR141" s="2" t="s">
        <v>1943</v>
      </c>
    </row>
    <row r="142" spans="1:44" ht="12.75" customHeight="1">
      <c r="A142" s="4">
        <f>DATE(51,4,27)</f>
        <v>18745</v>
      </c>
      <c r="C142" s="2" t="s">
        <v>175</v>
      </c>
      <c r="E142" s="18">
        <v>0</v>
      </c>
      <c r="F142" s="18">
        <v>1</v>
      </c>
      <c r="G142" s="18">
        <v>1</v>
      </c>
      <c r="H142" s="18">
        <v>0</v>
      </c>
      <c r="I142" s="18">
        <v>0</v>
      </c>
      <c r="J142" s="18">
        <v>0</v>
      </c>
      <c r="K142" s="18">
        <v>3</v>
      </c>
      <c r="T142" s="3">
        <f t="shared" si="2"/>
        <v>5</v>
      </c>
      <c r="U142" s="3">
        <v>5</v>
      </c>
      <c r="V142" s="3">
        <v>2</v>
      </c>
      <c r="X142" s="2" t="s">
        <v>417</v>
      </c>
      <c r="Y142" s="18">
        <v>0</v>
      </c>
      <c r="Z142" s="18">
        <v>1</v>
      </c>
      <c r="AA142" s="18">
        <v>2</v>
      </c>
      <c r="AB142" s="18">
        <v>0</v>
      </c>
      <c r="AC142" s="18">
        <v>0</v>
      </c>
      <c r="AD142" s="18">
        <v>1</v>
      </c>
      <c r="AE142" s="18">
        <v>0</v>
      </c>
      <c r="AN142" s="3">
        <v>4</v>
      </c>
      <c r="AO142" s="3">
        <v>8</v>
      </c>
      <c r="AP142" s="3">
        <v>0</v>
      </c>
      <c r="AR142" s="2" t="s">
        <v>1944</v>
      </c>
    </row>
    <row r="143" spans="1:44" ht="12.75" customHeight="1">
      <c r="A143" s="4">
        <f>DATE(51,5,1)</f>
        <v>18749</v>
      </c>
      <c r="B143" s="2" t="s">
        <v>152</v>
      </c>
      <c r="C143" s="2" t="s">
        <v>168</v>
      </c>
      <c r="E143" s="18">
        <v>0</v>
      </c>
      <c r="F143" s="18">
        <v>1</v>
      </c>
      <c r="G143" s="18">
        <v>0</v>
      </c>
      <c r="H143" s="18">
        <v>0</v>
      </c>
      <c r="I143" s="18">
        <v>0</v>
      </c>
      <c r="J143" s="18">
        <v>1</v>
      </c>
      <c r="K143" s="18">
        <v>1</v>
      </c>
      <c r="T143" s="3">
        <f t="shared" si="2"/>
        <v>3</v>
      </c>
      <c r="U143" s="3">
        <v>9</v>
      </c>
      <c r="V143" s="3">
        <v>1</v>
      </c>
      <c r="X143" s="2" t="s">
        <v>1945</v>
      </c>
      <c r="Y143" s="18">
        <v>1</v>
      </c>
      <c r="Z143" s="18">
        <v>2</v>
      </c>
      <c r="AA143" s="18">
        <v>2</v>
      </c>
      <c r="AB143" s="18">
        <v>0</v>
      </c>
      <c r="AC143" s="18">
        <v>0</v>
      </c>
      <c r="AD143" s="18">
        <v>0</v>
      </c>
      <c r="AE143" s="18">
        <v>0</v>
      </c>
      <c r="AN143" s="3">
        <v>5</v>
      </c>
      <c r="AO143" s="3">
        <v>5</v>
      </c>
      <c r="AP143" s="3">
        <v>3</v>
      </c>
      <c r="AR143" s="2" t="s">
        <v>199</v>
      </c>
    </row>
    <row r="144" spans="1:44" ht="12.75" customHeight="1">
      <c r="A144" s="4">
        <f>DATE(51,5,3)</f>
        <v>18751</v>
      </c>
      <c r="B144" s="2" t="s">
        <v>152</v>
      </c>
      <c r="C144" s="2" t="s">
        <v>331</v>
      </c>
      <c r="E144" s="18">
        <v>1</v>
      </c>
      <c r="F144" s="18">
        <v>1</v>
      </c>
      <c r="G144" s="18">
        <v>0</v>
      </c>
      <c r="H144" s="18">
        <v>0</v>
      </c>
      <c r="I144" s="18">
        <v>0</v>
      </c>
      <c r="J144" s="18">
        <v>4</v>
      </c>
      <c r="K144" s="18">
        <v>1</v>
      </c>
      <c r="T144" s="3">
        <f t="shared" si="2"/>
        <v>7</v>
      </c>
      <c r="U144" s="3">
        <v>6</v>
      </c>
      <c r="V144" s="3">
        <v>0</v>
      </c>
      <c r="X144" s="2" t="s">
        <v>417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N144" s="3">
        <v>0</v>
      </c>
      <c r="AO144" s="3">
        <v>6</v>
      </c>
      <c r="AP144" s="3">
        <v>3</v>
      </c>
      <c r="AR144" s="2" t="s">
        <v>1946</v>
      </c>
    </row>
    <row r="145" spans="1:44" ht="12.75" customHeight="1">
      <c r="A145" s="4">
        <f>DATE(51,5,4)</f>
        <v>18752</v>
      </c>
      <c r="B145" s="2" t="s">
        <v>152</v>
      </c>
      <c r="C145" s="2" t="s">
        <v>175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T145" s="3">
        <f t="shared" si="2"/>
        <v>0</v>
      </c>
      <c r="U145" s="3">
        <v>4</v>
      </c>
      <c r="V145" s="3">
        <v>1</v>
      </c>
      <c r="X145" s="2" t="s">
        <v>420</v>
      </c>
      <c r="Y145" s="18">
        <v>0</v>
      </c>
      <c r="Z145" s="18">
        <v>2</v>
      </c>
      <c r="AA145" s="18">
        <v>0</v>
      </c>
      <c r="AB145" s="18">
        <v>0</v>
      </c>
      <c r="AC145" s="18">
        <v>0</v>
      </c>
      <c r="AD145" s="18">
        <v>0</v>
      </c>
      <c r="AE145" s="18" t="s">
        <v>162</v>
      </c>
      <c r="AN145" s="3">
        <v>2</v>
      </c>
      <c r="AO145" s="3">
        <v>6</v>
      </c>
      <c r="AP145" s="3">
        <v>5</v>
      </c>
      <c r="AR145" s="2" t="s">
        <v>421</v>
      </c>
    </row>
    <row r="146" spans="1:44" ht="12.75" customHeight="1">
      <c r="A146" s="4">
        <f>DATE(51,5,9)</f>
        <v>18757</v>
      </c>
      <c r="B146" s="2" t="s">
        <v>152</v>
      </c>
      <c r="C146" s="2" t="s">
        <v>191</v>
      </c>
      <c r="E146" s="18">
        <v>0</v>
      </c>
      <c r="F146" s="18">
        <v>1</v>
      </c>
      <c r="G146" s="18">
        <v>3</v>
      </c>
      <c r="H146" s="18">
        <v>0</v>
      </c>
      <c r="I146" s="18">
        <v>3</v>
      </c>
      <c r="J146" s="18">
        <v>0</v>
      </c>
      <c r="K146" s="18">
        <v>0</v>
      </c>
      <c r="T146" s="3">
        <f t="shared" si="2"/>
        <v>7</v>
      </c>
      <c r="U146" s="3">
        <v>10</v>
      </c>
      <c r="V146" s="3">
        <v>6</v>
      </c>
      <c r="X146" s="2" t="s">
        <v>1947</v>
      </c>
      <c r="Y146" s="18">
        <v>2</v>
      </c>
      <c r="Z146" s="18">
        <v>3</v>
      </c>
      <c r="AA146" s="18">
        <v>1</v>
      </c>
      <c r="AB146" s="18">
        <v>0</v>
      </c>
      <c r="AC146" s="18">
        <v>5</v>
      </c>
      <c r="AD146" s="18">
        <v>0</v>
      </c>
      <c r="AE146" s="18" t="s">
        <v>162</v>
      </c>
      <c r="AN146" s="3">
        <v>11</v>
      </c>
      <c r="AO146" s="3">
        <v>11</v>
      </c>
      <c r="AP146" s="3">
        <v>1</v>
      </c>
      <c r="AR146" s="2" t="s">
        <v>422</v>
      </c>
    </row>
    <row r="147" spans="1:44" ht="12.75" customHeight="1">
      <c r="A147" s="4">
        <f>DATE(51,5,15)</f>
        <v>18763</v>
      </c>
      <c r="C147" s="2" t="s">
        <v>168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T147" s="3">
        <f t="shared" si="2"/>
        <v>0</v>
      </c>
      <c r="U147" s="3">
        <v>2</v>
      </c>
      <c r="V147" s="3">
        <v>4</v>
      </c>
      <c r="X147" s="2" t="s">
        <v>1948</v>
      </c>
      <c r="Y147" s="18">
        <v>0</v>
      </c>
      <c r="Z147" s="18">
        <v>3</v>
      </c>
      <c r="AA147" s="18">
        <v>3</v>
      </c>
      <c r="AB147" s="18">
        <v>0</v>
      </c>
      <c r="AC147" s="18">
        <v>0</v>
      </c>
      <c r="AD147" s="18">
        <v>0</v>
      </c>
      <c r="AE147" s="18">
        <v>3</v>
      </c>
      <c r="AN147" s="3">
        <v>9</v>
      </c>
      <c r="AO147" s="3">
        <v>7</v>
      </c>
      <c r="AP147" s="3">
        <v>1</v>
      </c>
      <c r="AR147" s="2" t="s">
        <v>423</v>
      </c>
    </row>
    <row r="148" spans="1:44" ht="12.75" customHeight="1">
      <c r="A148" s="4">
        <f>DATE(51,5,18)</f>
        <v>18766</v>
      </c>
      <c r="B148" s="2" t="s">
        <v>152</v>
      </c>
      <c r="C148" s="2" t="s">
        <v>174</v>
      </c>
      <c r="E148" s="18">
        <v>3</v>
      </c>
      <c r="F148" s="18">
        <v>0</v>
      </c>
      <c r="G148" s="18">
        <v>0</v>
      </c>
      <c r="H148" s="18">
        <v>0</v>
      </c>
      <c r="I148" s="18">
        <v>1</v>
      </c>
      <c r="J148" s="18">
        <v>0</v>
      </c>
      <c r="K148" s="18">
        <v>0</v>
      </c>
      <c r="T148" s="3">
        <f t="shared" si="2"/>
        <v>4</v>
      </c>
      <c r="U148" s="3">
        <v>6</v>
      </c>
      <c r="V148" s="3">
        <v>0</v>
      </c>
      <c r="X148" s="2" t="s">
        <v>1947</v>
      </c>
      <c r="Y148" s="18">
        <v>0</v>
      </c>
      <c r="Z148" s="18">
        <v>1</v>
      </c>
      <c r="AA148" s="18">
        <v>1</v>
      </c>
      <c r="AB148" s="18">
        <v>0</v>
      </c>
      <c r="AC148" s="18">
        <v>2</v>
      </c>
      <c r="AD148" s="18">
        <v>1</v>
      </c>
      <c r="AE148" s="18" t="s">
        <v>162</v>
      </c>
      <c r="AN148" s="3">
        <v>5</v>
      </c>
      <c r="AO148" s="3">
        <v>4</v>
      </c>
      <c r="AP148" s="3">
        <v>3</v>
      </c>
      <c r="AR148" s="2" t="s">
        <v>424</v>
      </c>
    </row>
    <row r="149" spans="1:44" ht="12.75" customHeight="1">
      <c r="A149" s="4">
        <f>DATE(51,5,24)</f>
        <v>18772</v>
      </c>
      <c r="C149" s="2" t="s">
        <v>174</v>
      </c>
      <c r="E149" s="18">
        <v>0</v>
      </c>
      <c r="F149" s="18">
        <v>0</v>
      </c>
      <c r="G149" s="18">
        <v>3</v>
      </c>
      <c r="H149" s="18">
        <v>3</v>
      </c>
      <c r="I149" s="18">
        <v>1</v>
      </c>
      <c r="J149" s="18">
        <v>0</v>
      </c>
      <c r="K149" s="18">
        <v>0</v>
      </c>
      <c r="T149" s="3">
        <f t="shared" si="2"/>
        <v>7</v>
      </c>
      <c r="U149" s="3">
        <v>4</v>
      </c>
      <c r="V149" s="3">
        <v>6</v>
      </c>
      <c r="X149" s="2" t="s">
        <v>1942</v>
      </c>
      <c r="Y149" s="18">
        <v>3</v>
      </c>
      <c r="Z149" s="18">
        <v>0</v>
      </c>
      <c r="AA149" s="18">
        <v>2</v>
      </c>
      <c r="AB149" s="18">
        <v>0</v>
      </c>
      <c r="AC149" s="18">
        <v>3</v>
      </c>
      <c r="AD149" s="18">
        <v>1</v>
      </c>
      <c r="AE149" s="18">
        <v>2</v>
      </c>
      <c r="AN149" s="3">
        <v>11</v>
      </c>
      <c r="AO149" s="3">
        <v>13</v>
      </c>
      <c r="AP149" s="3">
        <v>2</v>
      </c>
      <c r="AR149" s="2" t="s">
        <v>1949</v>
      </c>
    </row>
    <row r="150" ht="12.75" customHeight="1">
      <c r="A150" s="4"/>
    </row>
    <row r="151" spans="1:45" ht="12.75" customHeight="1">
      <c r="A151" s="4">
        <f>DATE(52,4,18)</f>
        <v>19102</v>
      </c>
      <c r="B151" s="2" t="s">
        <v>152</v>
      </c>
      <c r="C151" s="2" t="s">
        <v>174</v>
      </c>
      <c r="E151" s="18">
        <v>0</v>
      </c>
      <c r="F151" s="18">
        <v>0</v>
      </c>
      <c r="G151" s="18">
        <v>0</v>
      </c>
      <c r="H151" s="18">
        <v>0</v>
      </c>
      <c r="I151" s="18">
        <v>1</v>
      </c>
      <c r="J151" s="18">
        <v>0</v>
      </c>
      <c r="K151" s="18">
        <v>0</v>
      </c>
      <c r="T151" s="3">
        <f aca="true" t="shared" si="3" ref="T151:T159">SUM(E151:M151)</f>
        <v>1</v>
      </c>
      <c r="U151" s="3">
        <v>3</v>
      </c>
      <c r="V151" s="3">
        <v>3</v>
      </c>
      <c r="X151" s="2" t="s">
        <v>1942</v>
      </c>
      <c r="Y151" s="18">
        <v>0</v>
      </c>
      <c r="Z151" s="18">
        <v>2</v>
      </c>
      <c r="AA151" s="18">
        <v>5</v>
      </c>
      <c r="AB151" s="18">
        <v>0</v>
      </c>
      <c r="AC151" s="18">
        <v>1</v>
      </c>
      <c r="AD151" s="18">
        <v>1</v>
      </c>
      <c r="AE151" s="18" t="s">
        <v>162</v>
      </c>
      <c r="AN151" s="3">
        <v>9</v>
      </c>
      <c r="AO151" s="3">
        <v>9</v>
      </c>
      <c r="AP151" s="3">
        <v>1</v>
      </c>
      <c r="AR151" s="2" t="s">
        <v>633</v>
      </c>
      <c r="AS151" s="2" t="s">
        <v>204</v>
      </c>
    </row>
    <row r="152" spans="1:46" ht="12.75" customHeight="1">
      <c r="A152" s="4">
        <f>DATE(52,4,22)</f>
        <v>19106</v>
      </c>
      <c r="C152" s="2" t="s">
        <v>153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1</v>
      </c>
      <c r="T152" s="3">
        <f t="shared" si="3"/>
        <v>1</v>
      </c>
      <c r="U152" s="3">
        <v>1</v>
      </c>
      <c r="V152" s="3">
        <v>4</v>
      </c>
      <c r="X152" s="2" t="s">
        <v>1947</v>
      </c>
      <c r="Y152" s="18">
        <v>0</v>
      </c>
      <c r="Z152" s="18">
        <v>0</v>
      </c>
      <c r="AA152" s="18">
        <v>3</v>
      </c>
      <c r="AB152" s="18">
        <v>0</v>
      </c>
      <c r="AC152" s="18">
        <v>0</v>
      </c>
      <c r="AD152" s="18">
        <v>2</v>
      </c>
      <c r="AE152" s="18">
        <v>0</v>
      </c>
      <c r="AN152" s="3">
        <v>5</v>
      </c>
      <c r="AO152" s="3">
        <v>7</v>
      </c>
      <c r="AP152" s="3">
        <v>1</v>
      </c>
      <c r="AR152" s="2" t="s">
        <v>634</v>
      </c>
      <c r="AS152" s="2" t="s">
        <v>200</v>
      </c>
      <c r="AT152" s="2" t="s">
        <v>194</v>
      </c>
    </row>
    <row r="153" spans="1:44" ht="12.75" customHeight="1">
      <c r="A153" s="4">
        <f>DATE(52,4,29)</f>
        <v>19113</v>
      </c>
      <c r="C153" s="2" t="s">
        <v>168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T153" s="3">
        <f t="shared" si="3"/>
        <v>0</v>
      </c>
      <c r="U153" s="3">
        <v>3</v>
      </c>
      <c r="V153" s="3">
        <v>6</v>
      </c>
      <c r="X153" s="2" t="s">
        <v>635</v>
      </c>
      <c r="Y153" s="18">
        <v>3</v>
      </c>
      <c r="Z153" s="18">
        <v>1</v>
      </c>
      <c r="AA153" s="18">
        <v>0</v>
      </c>
      <c r="AB153" s="18">
        <v>0</v>
      </c>
      <c r="AC153" s="18">
        <v>2</v>
      </c>
      <c r="AD153" s="18">
        <v>1</v>
      </c>
      <c r="AE153" s="18">
        <v>0</v>
      </c>
      <c r="AN153" s="3">
        <v>7</v>
      </c>
      <c r="AO153" s="3">
        <v>10</v>
      </c>
      <c r="AP153" s="3">
        <v>1</v>
      </c>
      <c r="AR153" s="2" t="s">
        <v>636</v>
      </c>
    </row>
    <row r="154" spans="1:44" ht="12.75" customHeight="1">
      <c r="A154" s="4">
        <f>DATE(52,5,1)</f>
        <v>19115</v>
      </c>
      <c r="B154" s="2" t="s">
        <v>152</v>
      </c>
      <c r="C154" s="2" t="s">
        <v>175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T154" s="3">
        <f t="shared" si="3"/>
        <v>0</v>
      </c>
      <c r="U154" s="3">
        <v>2</v>
      </c>
      <c r="V154" s="3">
        <v>3</v>
      </c>
      <c r="X154" s="2" t="s">
        <v>637</v>
      </c>
      <c r="Y154" s="18">
        <v>1</v>
      </c>
      <c r="Z154" s="18">
        <v>0</v>
      </c>
      <c r="AA154" s="18">
        <v>2</v>
      </c>
      <c r="AB154" s="18">
        <v>0</v>
      </c>
      <c r="AC154" s="18">
        <v>0</v>
      </c>
      <c r="AD154" s="18">
        <v>0</v>
      </c>
      <c r="AE154" s="18" t="s">
        <v>162</v>
      </c>
      <c r="AN154" s="3">
        <v>3</v>
      </c>
      <c r="AO154" s="3">
        <v>6</v>
      </c>
      <c r="AP154" s="3">
        <v>2</v>
      </c>
      <c r="AR154" s="2" t="s">
        <v>638</v>
      </c>
    </row>
    <row r="155" spans="1:44" ht="12.75" customHeight="1">
      <c r="A155" s="4">
        <f>DATE(52,5,2)</f>
        <v>19116</v>
      </c>
      <c r="B155" s="2" t="s">
        <v>152</v>
      </c>
      <c r="C155" s="2" t="s">
        <v>191</v>
      </c>
      <c r="E155" s="18">
        <v>5</v>
      </c>
      <c r="F155" s="18">
        <v>1</v>
      </c>
      <c r="G155" s="18">
        <v>0</v>
      </c>
      <c r="H155" s="18">
        <v>0</v>
      </c>
      <c r="I155" s="18">
        <v>2</v>
      </c>
      <c r="J155" s="18">
        <v>2</v>
      </c>
      <c r="K155" s="18">
        <v>3</v>
      </c>
      <c r="T155" s="3">
        <f t="shared" si="3"/>
        <v>13</v>
      </c>
      <c r="U155" s="3">
        <v>11</v>
      </c>
      <c r="V155" s="3">
        <v>3</v>
      </c>
      <c r="X155" s="2" t="s">
        <v>1947</v>
      </c>
      <c r="Y155" s="18">
        <v>2</v>
      </c>
      <c r="Z155" s="18">
        <v>4</v>
      </c>
      <c r="AA155" s="18">
        <v>0</v>
      </c>
      <c r="AB155" s="18">
        <v>0</v>
      </c>
      <c r="AC155" s="18">
        <v>0</v>
      </c>
      <c r="AD155" s="18">
        <v>2</v>
      </c>
      <c r="AE155" s="18">
        <v>2</v>
      </c>
      <c r="AN155" s="3">
        <v>10</v>
      </c>
      <c r="AO155" s="3">
        <v>8</v>
      </c>
      <c r="AP155" s="3">
        <v>5</v>
      </c>
      <c r="AR155" s="2" t="s">
        <v>1950</v>
      </c>
    </row>
    <row r="156" spans="1:44" ht="12.75" customHeight="1">
      <c r="A156" s="4">
        <f>DATE(52,5,6)</f>
        <v>19120</v>
      </c>
      <c r="C156" s="2" t="s">
        <v>175</v>
      </c>
      <c r="E156" s="18">
        <v>0</v>
      </c>
      <c r="F156" s="18">
        <v>0</v>
      </c>
      <c r="G156" s="18">
        <v>2</v>
      </c>
      <c r="H156" s="18">
        <v>0</v>
      </c>
      <c r="I156" s="18">
        <v>0</v>
      </c>
      <c r="J156" s="18">
        <v>0</v>
      </c>
      <c r="K156" s="18">
        <v>1</v>
      </c>
      <c r="T156" s="3">
        <f t="shared" si="3"/>
        <v>3</v>
      </c>
      <c r="U156" s="3">
        <v>5</v>
      </c>
      <c r="V156" s="3">
        <v>5</v>
      </c>
      <c r="X156" s="2" t="s">
        <v>635</v>
      </c>
      <c r="Y156" s="18">
        <v>0</v>
      </c>
      <c r="Z156" s="18">
        <v>0</v>
      </c>
      <c r="AA156" s="18">
        <v>4</v>
      </c>
      <c r="AB156" s="18">
        <v>0</v>
      </c>
      <c r="AC156" s="18">
        <v>1</v>
      </c>
      <c r="AD156" s="18">
        <v>1</v>
      </c>
      <c r="AE156" s="18">
        <v>0</v>
      </c>
      <c r="AN156" s="3">
        <v>6</v>
      </c>
      <c r="AO156" s="3">
        <v>4</v>
      </c>
      <c r="AP156" s="3">
        <v>2</v>
      </c>
      <c r="AR156" s="2" t="s">
        <v>640</v>
      </c>
    </row>
    <row r="157" spans="1:44" ht="12.75" customHeight="1">
      <c r="A157" s="4">
        <f>DATE(52,5,14)</f>
        <v>19128</v>
      </c>
      <c r="B157" s="2" t="s">
        <v>152</v>
      </c>
      <c r="C157" s="2" t="s">
        <v>153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2</v>
      </c>
      <c r="K157" s="18">
        <v>1</v>
      </c>
      <c r="T157" s="3">
        <f t="shared" si="3"/>
        <v>3</v>
      </c>
      <c r="U157" s="3">
        <v>6</v>
      </c>
      <c r="V157" s="3">
        <v>2</v>
      </c>
      <c r="X157" s="2" t="s">
        <v>641</v>
      </c>
      <c r="Y157" s="18">
        <v>1</v>
      </c>
      <c r="Z157" s="18">
        <v>0</v>
      </c>
      <c r="AA157" s="18">
        <v>0</v>
      </c>
      <c r="AB157" s="18">
        <v>0</v>
      </c>
      <c r="AC157" s="18">
        <v>3</v>
      </c>
      <c r="AD157" s="18">
        <v>0</v>
      </c>
      <c r="AE157" s="18" t="s">
        <v>158</v>
      </c>
      <c r="AN157" s="3">
        <v>4</v>
      </c>
      <c r="AO157" s="3">
        <v>5</v>
      </c>
      <c r="AP157" s="3">
        <v>2</v>
      </c>
      <c r="AR157" s="2" t="s">
        <v>642</v>
      </c>
    </row>
    <row r="158" spans="1:44" ht="12.75" customHeight="1">
      <c r="A158" s="4">
        <f>DATE(52,5,16)</f>
        <v>19130</v>
      </c>
      <c r="C158" s="2" t="s">
        <v>191</v>
      </c>
      <c r="E158" s="18">
        <v>1</v>
      </c>
      <c r="F158" s="18">
        <v>0</v>
      </c>
      <c r="G158" s="18">
        <v>0</v>
      </c>
      <c r="H158" s="18">
        <v>0</v>
      </c>
      <c r="I158" s="18">
        <v>3</v>
      </c>
      <c r="J158" s="18">
        <v>0</v>
      </c>
      <c r="K158" s="18" t="s">
        <v>162</v>
      </c>
      <c r="T158" s="3">
        <f t="shared" si="3"/>
        <v>4</v>
      </c>
      <c r="U158" s="3">
        <v>4</v>
      </c>
      <c r="V158" s="3">
        <v>3</v>
      </c>
      <c r="X158" s="2" t="s">
        <v>637</v>
      </c>
      <c r="Y158" s="18">
        <v>3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N158" s="3">
        <v>3</v>
      </c>
      <c r="AO158" s="3">
        <v>5</v>
      </c>
      <c r="AP158" s="3">
        <v>3</v>
      </c>
      <c r="AR158" s="2" t="s">
        <v>643</v>
      </c>
    </row>
    <row r="159" spans="1:44" ht="12.75" customHeight="1">
      <c r="A159" s="4">
        <f>DATE(52,5,22)</f>
        <v>19136</v>
      </c>
      <c r="C159" s="2" t="s">
        <v>174</v>
      </c>
      <c r="E159" s="18">
        <v>0</v>
      </c>
      <c r="F159" s="18">
        <v>0</v>
      </c>
      <c r="G159" s="18">
        <v>1</v>
      </c>
      <c r="H159" s="18">
        <v>0</v>
      </c>
      <c r="I159" s="18">
        <v>0</v>
      </c>
      <c r="J159" s="18">
        <v>0</v>
      </c>
      <c r="K159" s="18">
        <v>0</v>
      </c>
      <c r="T159" s="3">
        <f t="shared" si="3"/>
        <v>1</v>
      </c>
      <c r="U159" s="3">
        <v>4</v>
      </c>
      <c r="V159" s="3">
        <v>2</v>
      </c>
      <c r="X159" s="2" t="s">
        <v>635</v>
      </c>
      <c r="Y159" s="18">
        <v>0</v>
      </c>
      <c r="Z159" s="18">
        <v>3</v>
      </c>
      <c r="AA159" s="18">
        <v>0</v>
      </c>
      <c r="AB159" s="18">
        <v>0</v>
      </c>
      <c r="AC159" s="18">
        <v>1</v>
      </c>
      <c r="AD159" s="18">
        <v>0</v>
      </c>
      <c r="AE159" s="18">
        <v>1</v>
      </c>
      <c r="AN159" s="3">
        <v>5</v>
      </c>
      <c r="AO159" s="3">
        <v>7</v>
      </c>
      <c r="AP159" s="3">
        <v>0</v>
      </c>
      <c r="AR159" s="2" t="s">
        <v>1951</v>
      </c>
    </row>
    <row r="160" ht="12.75" customHeight="1">
      <c r="A160" s="4"/>
    </row>
    <row r="161" spans="1:45" ht="12.75" customHeight="1">
      <c r="A161" s="4">
        <f>DATE(53,4,22)</f>
        <v>19471</v>
      </c>
      <c r="C161" s="2" t="s">
        <v>368</v>
      </c>
      <c r="E161" s="18">
        <v>0</v>
      </c>
      <c r="F161" s="18">
        <v>0</v>
      </c>
      <c r="G161" s="18">
        <v>0</v>
      </c>
      <c r="H161" s="18">
        <v>0</v>
      </c>
      <c r="I161" s="18">
        <v>4</v>
      </c>
      <c r="J161" s="18">
        <v>0</v>
      </c>
      <c r="K161" s="18">
        <v>0</v>
      </c>
      <c r="T161" s="3">
        <f aca="true" t="shared" si="4" ref="T161:T174">SUM(E161:M161)</f>
        <v>4</v>
      </c>
      <c r="U161" s="3">
        <v>7</v>
      </c>
      <c r="V161" s="3">
        <v>2</v>
      </c>
      <c r="X161" s="2" t="s">
        <v>1942</v>
      </c>
      <c r="Y161" s="18">
        <v>1</v>
      </c>
      <c r="Z161" s="18">
        <v>0</v>
      </c>
      <c r="AA161" s="18">
        <v>0</v>
      </c>
      <c r="AB161" s="18">
        <v>0</v>
      </c>
      <c r="AC161" s="18">
        <v>1</v>
      </c>
      <c r="AD161" s="18">
        <v>2</v>
      </c>
      <c r="AE161" s="18">
        <v>2</v>
      </c>
      <c r="AN161" s="3">
        <v>6</v>
      </c>
      <c r="AO161" s="3">
        <v>7</v>
      </c>
      <c r="AP161" s="3">
        <v>2</v>
      </c>
      <c r="AR161" s="2" t="s">
        <v>203</v>
      </c>
      <c r="AS161" s="2" t="s">
        <v>204</v>
      </c>
    </row>
    <row r="162" spans="1:46" ht="12.75" customHeight="1">
      <c r="A162" s="4">
        <f>DATE(53,4,24)</f>
        <v>19473</v>
      </c>
      <c r="C162" s="2" t="s">
        <v>175</v>
      </c>
      <c r="E162" s="18">
        <v>2</v>
      </c>
      <c r="F162" s="18">
        <v>2</v>
      </c>
      <c r="G162" s="18">
        <v>0</v>
      </c>
      <c r="H162" s="18">
        <v>0</v>
      </c>
      <c r="I162" s="18">
        <v>2</v>
      </c>
      <c r="J162" s="18">
        <v>4</v>
      </c>
      <c r="K162" s="18" t="s">
        <v>162</v>
      </c>
      <c r="T162" s="3">
        <f t="shared" si="4"/>
        <v>10</v>
      </c>
      <c r="U162" s="3">
        <v>11</v>
      </c>
      <c r="V162" s="3">
        <v>2</v>
      </c>
      <c r="X162" s="2" t="s">
        <v>635</v>
      </c>
      <c r="Y162" s="18">
        <v>1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1</v>
      </c>
      <c r="AN162" s="3">
        <v>2</v>
      </c>
      <c r="AO162" s="3">
        <v>4</v>
      </c>
      <c r="AP162" s="3">
        <v>3</v>
      </c>
      <c r="AR162" s="2" t="s">
        <v>1935</v>
      </c>
      <c r="AS162" s="2" t="s">
        <v>193</v>
      </c>
      <c r="AT162" s="2" t="s">
        <v>205</v>
      </c>
    </row>
    <row r="163" spans="1:44" ht="12.75" customHeight="1">
      <c r="A163" s="4">
        <f>DATE(53,4,28)</f>
        <v>19477</v>
      </c>
      <c r="C163" s="2" t="s">
        <v>168</v>
      </c>
      <c r="E163" s="18">
        <v>0</v>
      </c>
      <c r="F163" s="18">
        <v>0</v>
      </c>
      <c r="G163" s="18">
        <v>3</v>
      </c>
      <c r="H163" s="18">
        <v>0</v>
      </c>
      <c r="I163" s="18">
        <v>0</v>
      </c>
      <c r="J163" s="18">
        <v>1</v>
      </c>
      <c r="K163" s="18" t="s">
        <v>162</v>
      </c>
      <c r="T163" s="3">
        <f t="shared" si="4"/>
        <v>4</v>
      </c>
      <c r="U163" s="3">
        <v>3</v>
      </c>
      <c r="V163" s="3">
        <v>2</v>
      </c>
      <c r="X163" s="2" t="s">
        <v>644</v>
      </c>
      <c r="Y163" s="18">
        <v>0</v>
      </c>
      <c r="Z163" s="18">
        <v>0</v>
      </c>
      <c r="AA163" s="18">
        <v>1</v>
      </c>
      <c r="AB163" s="18">
        <v>1</v>
      </c>
      <c r="AC163" s="18">
        <v>0</v>
      </c>
      <c r="AD163" s="18">
        <v>1</v>
      </c>
      <c r="AE163" s="18">
        <v>0</v>
      </c>
      <c r="AN163" s="3">
        <v>3</v>
      </c>
      <c r="AO163" s="3">
        <v>5</v>
      </c>
      <c r="AP163" s="3">
        <v>4</v>
      </c>
      <c r="AR163" s="2" t="s">
        <v>645</v>
      </c>
    </row>
    <row r="164" spans="1:44" ht="12.75" customHeight="1">
      <c r="A164" s="4">
        <f>DATE(53,4,29)</f>
        <v>19478</v>
      </c>
      <c r="C164" s="2" t="s">
        <v>191</v>
      </c>
      <c r="E164" s="18">
        <v>0</v>
      </c>
      <c r="F164" s="18">
        <v>3</v>
      </c>
      <c r="G164" s="18">
        <v>4</v>
      </c>
      <c r="H164" s="18">
        <v>1</v>
      </c>
      <c r="I164" s="18">
        <v>7</v>
      </c>
      <c r="J164" s="18">
        <v>0</v>
      </c>
      <c r="K164" s="18" t="s">
        <v>162</v>
      </c>
      <c r="T164" s="3">
        <f t="shared" si="4"/>
        <v>15</v>
      </c>
      <c r="U164" s="3">
        <v>10</v>
      </c>
      <c r="V164" s="3">
        <v>1</v>
      </c>
      <c r="X164" s="2" t="s">
        <v>2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1</v>
      </c>
      <c r="AN164" s="3">
        <v>1</v>
      </c>
      <c r="AO164" s="3">
        <v>3</v>
      </c>
      <c r="AP164" s="3">
        <v>4</v>
      </c>
      <c r="AR164" s="2" t="s">
        <v>1950</v>
      </c>
    </row>
    <row r="165" spans="1:44" ht="12.75" customHeight="1">
      <c r="A165" s="4">
        <f>DATE(53,4,30)</f>
        <v>19479</v>
      </c>
      <c r="B165" s="2" t="s">
        <v>152</v>
      </c>
      <c r="C165" s="2" t="s">
        <v>169</v>
      </c>
      <c r="E165" s="18">
        <v>0</v>
      </c>
      <c r="F165" s="18">
        <v>0</v>
      </c>
      <c r="G165" s="18">
        <v>0</v>
      </c>
      <c r="H165" s="18">
        <v>2</v>
      </c>
      <c r="I165" s="18">
        <v>0</v>
      </c>
      <c r="J165" s="18">
        <v>0</v>
      </c>
      <c r="K165" s="18">
        <v>0</v>
      </c>
      <c r="T165" s="3">
        <f t="shared" si="4"/>
        <v>2</v>
      </c>
      <c r="U165" s="3">
        <v>3</v>
      </c>
      <c r="V165" s="3">
        <v>1</v>
      </c>
      <c r="X165" s="2" t="s">
        <v>646</v>
      </c>
      <c r="Y165" s="18">
        <v>0</v>
      </c>
      <c r="Z165" s="18">
        <v>0</v>
      </c>
      <c r="AA165" s="18">
        <v>1</v>
      </c>
      <c r="AB165" s="18">
        <v>2</v>
      </c>
      <c r="AC165" s="18">
        <v>0</v>
      </c>
      <c r="AD165" s="18">
        <v>1</v>
      </c>
      <c r="AE165" s="18" t="s">
        <v>162</v>
      </c>
      <c r="AN165" s="3">
        <v>4</v>
      </c>
      <c r="AO165" s="3">
        <v>2</v>
      </c>
      <c r="AP165" s="3">
        <v>0</v>
      </c>
      <c r="AR165" s="2" t="s">
        <v>647</v>
      </c>
    </row>
    <row r="166" spans="1:44" ht="12.75" customHeight="1">
      <c r="A166" s="4">
        <f>DATE(53,5,1)</f>
        <v>19480</v>
      </c>
      <c r="C166" s="2" t="s">
        <v>153</v>
      </c>
      <c r="E166" s="18">
        <v>0</v>
      </c>
      <c r="F166" s="18">
        <v>4</v>
      </c>
      <c r="G166" s="18">
        <v>0</v>
      </c>
      <c r="H166" s="18">
        <v>2</v>
      </c>
      <c r="I166" s="18">
        <v>0</v>
      </c>
      <c r="J166" s="18">
        <v>0</v>
      </c>
      <c r="K166" s="18" t="s">
        <v>162</v>
      </c>
      <c r="T166" s="3">
        <f t="shared" si="4"/>
        <v>6</v>
      </c>
      <c r="U166" s="3">
        <v>10</v>
      </c>
      <c r="V166" s="3">
        <v>0</v>
      </c>
      <c r="X166" s="2" t="s">
        <v>419</v>
      </c>
      <c r="Y166" s="18">
        <v>0</v>
      </c>
      <c r="Z166" s="18">
        <v>0</v>
      </c>
      <c r="AA166" s="18">
        <v>4</v>
      </c>
      <c r="AB166" s="18">
        <v>0</v>
      </c>
      <c r="AC166" s="18">
        <v>0</v>
      </c>
      <c r="AD166" s="18">
        <v>0</v>
      </c>
      <c r="AE166" s="18">
        <v>0</v>
      </c>
      <c r="AN166" s="3">
        <v>4</v>
      </c>
      <c r="AO166" s="3">
        <v>6</v>
      </c>
      <c r="AP166" s="3">
        <v>1</v>
      </c>
      <c r="AR166" s="2" t="s">
        <v>5</v>
      </c>
    </row>
    <row r="167" spans="1:44" ht="12.75" customHeight="1">
      <c r="A167" s="4">
        <f>DATE(53,5,4)</f>
        <v>19483</v>
      </c>
      <c r="B167" s="2" t="s">
        <v>152</v>
      </c>
      <c r="C167" s="2" t="s">
        <v>153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1</v>
      </c>
      <c r="K167" s="18">
        <v>0</v>
      </c>
      <c r="T167" s="3">
        <f t="shared" si="4"/>
        <v>1</v>
      </c>
      <c r="U167" s="3">
        <v>7</v>
      </c>
      <c r="V167" s="3">
        <v>5</v>
      </c>
      <c r="X167" s="2" t="s">
        <v>2</v>
      </c>
      <c r="Y167" s="18">
        <v>2</v>
      </c>
      <c r="Z167" s="18">
        <v>0</v>
      </c>
      <c r="AA167" s="18">
        <v>4</v>
      </c>
      <c r="AB167" s="18">
        <v>0</v>
      </c>
      <c r="AC167" s="18">
        <v>0</v>
      </c>
      <c r="AD167" s="18">
        <v>0</v>
      </c>
      <c r="AE167" s="18" t="s">
        <v>162</v>
      </c>
      <c r="AN167" s="3">
        <v>6</v>
      </c>
      <c r="AO167" s="3">
        <v>4</v>
      </c>
      <c r="AP167" s="3">
        <v>0</v>
      </c>
      <c r="AR167" s="2" t="s">
        <v>648</v>
      </c>
    </row>
    <row r="168" spans="1:44" ht="12.75" customHeight="1">
      <c r="A168" s="4">
        <f>DATE(53,5,6)</f>
        <v>19485</v>
      </c>
      <c r="B168" s="2" t="s">
        <v>152</v>
      </c>
      <c r="C168" s="2" t="s">
        <v>175</v>
      </c>
      <c r="E168" s="18">
        <v>0</v>
      </c>
      <c r="F168" s="18">
        <v>0</v>
      </c>
      <c r="G168" s="18">
        <v>1</v>
      </c>
      <c r="H168" s="18">
        <v>0</v>
      </c>
      <c r="I168" s="18">
        <v>0</v>
      </c>
      <c r="J168" s="18">
        <v>0</v>
      </c>
      <c r="K168" s="18">
        <v>2</v>
      </c>
      <c r="T168" s="3">
        <f t="shared" si="4"/>
        <v>3</v>
      </c>
      <c r="U168" s="3">
        <v>9</v>
      </c>
      <c r="V168" s="3">
        <v>2</v>
      </c>
      <c r="X168" s="2" t="s">
        <v>1942</v>
      </c>
      <c r="Y168" s="18">
        <v>0</v>
      </c>
      <c r="Z168" s="18">
        <v>0</v>
      </c>
      <c r="AA168" s="18">
        <v>3</v>
      </c>
      <c r="AB168" s="18">
        <v>0</v>
      </c>
      <c r="AC168" s="18">
        <v>0</v>
      </c>
      <c r="AD168" s="18">
        <v>0</v>
      </c>
      <c r="AE168" s="18">
        <v>1</v>
      </c>
      <c r="AN168" s="3">
        <v>4</v>
      </c>
      <c r="AO168" s="3">
        <v>5</v>
      </c>
      <c r="AP168" s="3">
        <v>0</v>
      </c>
      <c r="AR168" s="2" t="s">
        <v>3</v>
      </c>
    </row>
    <row r="169" spans="1:44" ht="12.75" customHeight="1">
      <c r="A169" s="4">
        <f>DATE(53,5,11)</f>
        <v>19490</v>
      </c>
      <c r="C169" s="2" t="s">
        <v>174</v>
      </c>
      <c r="E169" s="18">
        <v>0</v>
      </c>
      <c r="F169" s="18">
        <v>0</v>
      </c>
      <c r="G169" s="18">
        <v>0</v>
      </c>
      <c r="H169" s="18">
        <v>0</v>
      </c>
      <c r="I169" s="18">
        <v>1</v>
      </c>
      <c r="J169" s="18">
        <v>0</v>
      </c>
      <c r="K169" s="18" t="s">
        <v>162</v>
      </c>
      <c r="T169" s="3">
        <f t="shared" si="4"/>
        <v>1</v>
      </c>
      <c r="U169" s="3">
        <v>2</v>
      </c>
      <c r="V169" s="3">
        <v>0</v>
      </c>
      <c r="X169" s="2" t="s">
        <v>649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N169" s="3">
        <v>0</v>
      </c>
      <c r="AO169" s="3">
        <v>3</v>
      </c>
      <c r="AP169" s="3">
        <v>2</v>
      </c>
      <c r="AR169" s="2" t="s">
        <v>650</v>
      </c>
    </row>
    <row r="170" spans="1:44" ht="12.75" customHeight="1">
      <c r="A170" s="4">
        <f>DATE(53,5,12)</f>
        <v>19491</v>
      </c>
      <c r="B170" s="2" t="s">
        <v>152</v>
      </c>
      <c r="C170" s="2" t="s">
        <v>168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3</v>
      </c>
      <c r="T170" s="3">
        <f t="shared" si="4"/>
        <v>3</v>
      </c>
      <c r="U170" s="3">
        <v>9</v>
      </c>
      <c r="V170" s="3">
        <v>5</v>
      </c>
      <c r="X170" s="2" t="s">
        <v>641</v>
      </c>
      <c r="Y170" s="18">
        <v>1</v>
      </c>
      <c r="Z170" s="18">
        <v>2</v>
      </c>
      <c r="AA170" s="18">
        <v>0</v>
      </c>
      <c r="AB170" s="18">
        <v>0</v>
      </c>
      <c r="AC170" s="18">
        <v>0</v>
      </c>
      <c r="AD170" s="18">
        <v>2</v>
      </c>
      <c r="AE170" s="18" t="s">
        <v>162</v>
      </c>
      <c r="AN170" s="3">
        <v>5</v>
      </c>
      <c r="AO170" s="3">
        <v>7</v>
      </c>
      <c r="AP170" s="3">
        <v>0</v>
      </c>
      <c r="AR170" s="2" t="s">
        <v>651</v>
      </c>
    </row>
    <row r="171" spans="1:44" ht="12.75" customHeight="1">
      <c r="A171" s="4">
        <f>DATE(53,5,14)</f>
        <v>19493</v>
      </c>
      <c r="C171" s="2" t="s">
        <v>169</v>
      </c>
      <c r="E171" s="18">
        <v>2</v>
      </c>
      <c r="F171" s="18">
        <v>0</v>
      </c>
      <c r="G171" s="18">
        <v>1</v>
      </c>
      <c r="H171" s="18">
        <v>0</v>
      </c>
      <c r="I171" s="18">
        <v>0</v>
      </c>
      <c r="J171" s="18">
        <v>0</v>
      </c>
      <c r="K171" s="18" t="s">
        <v>162</v>
      </c>
      <c r="T171" s="3">
        <f t="shared" si="4"/>
        <v>3</v>
      </c>
      <c r="U171" s="3">
        <v>5</v>
      </c>
      <c r="V171" s="3">
        <v>4</v>
      </c>
      <c r="X171" s="2" t="s">
        <v>649</v>
      </c>
      <c r="Y171" s="18">
        <v>0</v>
      </c>
      <c r="Z171" s="18">
        <v>0</v>
      </c>
      <c r="AA171" s="18">
        <v>0</v>
      </c>
      <c r="AB171" s="18">
        <v>0</v>
      </c>
      <c r="AC171" s="18">
        <v>1</v>
      </c>
      <c r="AD171" s="18">
        <v>0</v>
      </c>
      <c r="AE171" s="18">
        <v>1</v>
      </c>
      <c r="AN171" s="3">
        <v>2</v>
      </c>
      <c r="AO171" s="3">
        <v>7</v>
      </c>
      <c r="AP171" s="3">
        <v>0</v>
      </c>
      <c r="AR171" s="2" t="s">
        <v>652</v>
      </c>
    </row>
    <row r="172" spans="1:44" ht="12.75" customHeight="1">
      <c r="A172" s="4">
        <f>DATE(53,5,18)</f>
        <v>19497</v>
      </c>
      <c r="B172" s="2" t="s">
        <v>152</v>
      </c>
      <c r="C172" s="2" t="s">
        <v>174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T172" s="3">
        <f t="shared" si="4"/>
        <v>0</v>
      </c>
      <c r="U172" s="3">
        <v>1</v>
      </c>
      <c r="V172" s="3">
        <v>5</v>
      </c>
      <c r="X172" s="2" t="s">
        <v>653</v>
      </c>
      <c r="Y172" s="18">
        <v>2</v>
      </c>
      <c r="Z172" s="18">
        <v>0</v>
      </c>
      <c r="AA172" s="18">
        <v>0</v>
      </c>
      <c r="AB172" s="18">
        <v>1</v>
      </c>
      <c r="AC172" s="18">
        <v>4</v>
      </c>
      <c r="AD172" s="18">
        <v>1</v>
      </c>
      <c r="AE172" s="18" t="s">
        <v>162</v>
      </c>
      <c r="AN172" s="3">
        <v>8</v>
      </c>
      <c r="AO172" s="3">
        <v>8</v>
      </c>
      <c r="AP172" s="3">
        <v>1</v>
      </c>
      <c r="AR172" s="2" t="s">
        <v>654</v>
      </c>
    </row>
    <row r="173" spans="1:44" ht="12.75" customHeight="1">
      <c r="A173" s="4">
        <f>DATE(53,5,19)</f>
        <v>19498</v>
      </c>
      <c r="B173" s="2" t="s">
        <v>152</v>
      </c>
      <c r="C173" s="2" t="s">
        <v>191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1</v>
      </c>
      <c r="K173" s="18">
        <v>0</v>
      </c>
      <c r="T173" s="3">
        <f t="shared" si="4"/>
        <v>1</v>
      </c>
      <c r="U173" s="3">
        <v>5</v>
      </c>
      <c r="V173" s="3">
        <v>2</v>
      </c>
      <c r="X173" s="2" t="s">
        <v>644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N173" s="3">
        <v>0</v>
      </c>
      <c r="AO173" s="3">
        <v>1</v>
      </c>
      <c r="AP173" s="3">
        <v>1</v>
      </c>
      <c r="AR173" s="2" t="s">
        <v>655</v>
      </c>
    </row>
    <row r="174" spans="1:44" ht="12.75" customHeight="1">
      <c r="A174" s="4">
        <f>DATE(53,5,21)</f>
        <v>19500</v>
      </c>
      <c r="B174" s="2" t="s">
        <v>152</v>
      </c>
      <c r="C174" s="2" t="s">
        <v>368</v>
      </c>
      <c r="E174" s="18">
        <v>3</v>
      </c>
      <c r="F174" s="18">
        <v>1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1</v>
      </c>
      <c r="T174" s="3">
        <f t="shared" si="4"/>
        <v>5</v>
      </c>
      <c r="U174" s="3">
        <v>11</v>
      </c>
      <c r="V174" s="3">
        <v>2</v>
      </c>
      <c r="X174" s="2" t="s">
        <v>1942</v>
      </c>
      <c r="Y174" s="18">
        <v>0</v>
      </c>
      <c r="Z174" s="18">
        <v>2</v>
      </c>
      <c r="AA174" s="18">
        <v>0</v>
      </c>
      <c r="AB174" s="18">
        <v>0</v>
      </c>
      <c r="AC174" s="18">
        <v>1</v>
      </c>
      <c r="AD174" s="18">
        <v>1</v>
      </c>
      <c r="AE174" s="18">
        <v>0</v>
      </c>
      <c r="AF174" s="18">
        <v>0</v>
      </c>
      <c r="AN174" s="3">
        <v>4</v>
      </c>
      <c r="AO174" s="3">
        <v>12</v>
      </c>
      <c r="AP174" s="3">
        <v>3</v>
      </c>
      <c r="AR174" s="2" t="s">
        <v>656</v>
      </c>
    </row>
    <row r="175" ht="12.75" customHeight="1">
      <c r="A175" s="4"/>
    </row>
    <row r="176" spans="1:45" ht="12.75" customHeight="1">
      <c r="A176" s="4">
        <f>DATE(54,4,21)</f>
        <v>19835</v>
      </c>
      <c r="B176" s="2" t="s">
        <v>152</v>
      </c>
      <c r="C176" s="2" t="s">
        <v>174</v>
      </c>
      <c r="E176" s="18">
        <v>0</v>
      </c>
      <c r="F176" s="18">
        <v>0</v>
      </c>
      <c r="G176" s="18">
        <v>0</v>
      </c>
      <c r="H176" s="18">
        <v>2</v>
      </c>
      <c r="I176" s="18">
        <v>1</v>
      </c>
      <c r="J176" s="18">
        <v>0</v>
      </c>
      <c r="K176" s="18">
        <v>1</v>
      </c>
      <c r="T176" s="3">
        <v>4</v>
      </c>
      <c r="U176" s="3">
        <v>6</v>
      </c>
      <c r="V176" s="3">
        <v>5</v>
      </c>
      <c r="X176" s="2" t="s">
        <v>657</v>
      </c>
      <c r="Y176" s="18">
        <v>5</v>
      </c>
      <c r="Z176" s="18">
        <v>2</v>
      </c>
      <c r="AA176" s="18">
        <v>2</v>
      </c>
      <c r="AB176" s="18">
        <v>2</v>
      </c>
      <c r="AC176" s="18">
        <v>7</v>
      </c>
      <c r="AD176" s="18">
        <v>0</v>
      </c>
      <c r="AE176" s="18" t="s">
        <v>162</v>
      </c>
      <c r="AN176" s="3">
        <v>18</v>
      </c>
      <c r="AO176" s="3">
        <v>17</v>
      </c>
      <c r="AP176" s="3">
        <v>3</v>
      </c>
      <c r="AR176" s="2" t="s">
        <v>658</v>
      </c>
      <c r="AS176" s="2" t="s">
        <v>204</v>
      </c>
    </row>
    <row r="177" spans="1:47" ht="12.75" customHeight="1">
      <c r="A177" s="4">
        <f>DATE(54,4,29)</f>
        <v>19843</v>
      </c>
      <c r="C177" s="2" t="s">
        <v>168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T177" s="3">
        <v>0</v>
      </c>
      <c r="U177" s="3">
        <v>4</v>
      </c>
      <c r="V177" s="3">
        <v>6</v>
      </c>
      <c r="X177" s="2" t="s">
        <v>659</v>
      </c>
      <c r="Y177" s="18">
        <v>0</v>
      </c>
      <c r="Z177" s="18">
        <v>0</v>
      </c>
      <c r="AA177" s="18">
        <v>1</v>
      </c>
      <c r="AB177" s="18">
        <v>2</v>
      </c>
      <c r="AC177" s="18">
        <v>2</v>
      </c>
      <c r="AD177" s="18">
        <v>0</v>
      </c>
      <c r="AE177" s="18">
        <v>1</v>
      </c>
      <c r="AN177" s="3">
        <v>6</v>
      </c>
      <c r="AO177" s="3">
        <v>10</v>
      </c>
      <c r="AP177" s="3">
        <v>0</v>
      </c>
      <c r="AR177" s="2" t="s">
        <v>660</v>
      </c>
      <c r="AS177" s="2" t="s">
        <v>190</v>
      </c>
      <c r="AT177" s="2" t="s">
        <v>206</v>
      </c>
      <c r="AU177" s="2" t="s">
        <v>177</v>
      </c>
    </row>
    <row r="178" spans="1:44" ht="12.75" customHeight="1">
      <c r="A178" s="4">
        <f>DATE(54,4,30)</f>
        <v>19844</v>
      </c>
      <c r="B178" s="2" t="s">
        <v>152</v>
      </c>
      <c r="C178" s="2" t="s">
        <v>153</v>
      </c>
      <c r="E178" s="18">
        <v>1</v>
      </c>
      <c r="F178" s="18">
        <v>0</v>
      </c>
      <c r="G178" s="18">
        <v>0</v>
      </c>
      <c r="H178" s="18">
        <v>1</v>
      </c>
      <c r="I178" s="18">
        <v>0</v>
      </c>
      <c r="J178" s="18">
        <v>4</v>
      </c>
      <c r="K178" s="18">
        <v>2</v>
      </c>
      <c r="T178" s="3">
        <v>8</v>
      </c>
      <c r="U178" s="3">
        <v>15</v>
      </c>
      <c r="V178" s="3">
        <v>4</v>
      </c>
      <c r="X178" s="2" t="s">
        <v>4</v>
      </c>
      <c r="Y178" s="18">
        <v>1</v>
      </c>
      <c r="Z178" s="18">
        <v>0</v>
      </c>
      <c r="AA178" s="18">
        <v>6</v>
      </c>
      <c r="AB178" s="18">
        <v>3</v>
      </c>
      <c r="AC178" s="18">
        <v>1</v>
      </c>
      <c r="AD178" s="18">
        <v>0</v>
      </c>
      <c r="AE178" s="18" t="s">
        <v>162</v>
      </c>
      <c r="AN178" s="3">
        <v>11</v>
      </c>
      <c r="AO178" s="3">
        <v>7</v>
      </c>
      <c r="AP178" s="3">
        <v>0</v>
      </c>
      <c r="AR178" s="2" t="s">
        <v>5</v>
      </c>
    </row>
    <row r="179" spans="1:44" ht="12.75" customHeight="1">
      <c r="A179" s="4">
        <f>DATE(54,5,4)</f>
        <v>19848</v>
      </c>
      <c r="B179" s="2" t="s">
        <v>152</v>
      </c>
      <c r="C179" s="2" t="s">
        <v>175</v>
      </c>
      <c r="E179" s="18">
        <v>2</v>
      </c>
      <c r="F179" s="18">
        <v>0</v>
      </c>
      <c r="G179" s="18">
        <v>0</v>
      </c>
      <c r="H179" s="18">
        <v>0</v>
      </c>
      <c r="I179" s="18">
        <v>2</v>
      </c>
      <c r="J179" s="18">
        <v>4</v>
      </c>
      <c r="K179" s="18">
        <v>0</v>
      </c>
      <c r="T179" s="3">
        <v>8</v>
      </c>
      <c r="U179" s="3">
        <v>12</v>
      </c>
      <c r="V179" s="3">
        <v>3</v>
      </c>
      <c r="X179" s="2" t="s">
        <v>659</v>
      </c>
      <c r="Y179" s="18">
        <v>3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N179" s="3">
        <v>3</v>
      </c>
      <c r="AO179" s="3">
        <v>8</v>
      </c>
      <c r="AP179" s="3">
        <v>3</v>
      </c>
      <c r="AR179" s="2" t="s">
        <v>207</v>
      </c>
    </row>
    <row r="180" spans="1:44" ht="12.75" customHeight="1">
      <c r="A180" s="4">
        <f>DATE(54,5,4)</f>
        <v>19848</v>
      </c>
      <c r="B180" s="2" t="s">
        <v>152</v>
      </c>
      <c r="C180" s="2" t="s">
        <v>175</v>
      </c>
      <c r="E180" s="18">
        <v>0</v>
      </c>
      <c r="F180" s="18">
        <v>0</v>
      </c>
      <c r="G180" s="18">
        <v>0</v>
      </c>
      <c r="H180" s="18">
        <v>1</v>
      </c>
      <c r="I180" s="18">
        <v>0</v>
      </c>
      <c r="T180" s="3">
        <v>1</v>
      </c>
      <c r="U180" s="3">
        <v>3</v>
      </c>
      <c r="V180" s="3">
        <v>2</v>
      </c>
      <c r="X180" s="2" t="s">
        <v>661</v>
      </c>
      <c r="Y180" s="18">
        <v>3</v>
      </c>
      <c r="Z180" s="18">
        <v>0</v>
      </c>
      <c r="AA180" s="18">
        <v>0</v>
      </c>
      <c r="AB180" s="18">
        <v>1</v>
      </c>
      <c r="AC180" s="18">
        <v>0</v>
      </c>
      <c r="AN180" s="3">
        <v>4</v>
      </c>
      <c r="AO180" s="3">
        <v>8</v>
      </c>
      <c r="AP180" s="3">
        <v>1</v>
      </c>
      <c r="AR180" s="2" t="s">
        <v>218</v>
      </c>
    </row>
    <row r="181" spans="1:44" ht="12.75" customHeight="1">
      <c r="A181" s="4">
        <f>DATE(54,5,6)</f>
        <v>19850</v>
      </c>
      <c r="C181" s="2" t="s">
        <v>169</v>
      </c>
      <c r="E181" s="18">
        <v>0</v>
      </c>
      <c r="F181" s="18">
        <v>1</v>
      </c>
      <c r="G181" s="18">
        <v>0</v>
      </c>
      <c r="H181" s="18">
        <v>7</v>
      </c>
      <c r="I181" s="18">
        <v>0</v>
      </c>
      <c r="J181" s="18">
        <v>3</v>
      </c>
      <c r="K181" s="18" t="s">
        <v>162</v>
      </c>
      <c r="T181" s="3">
        <v>11</v>
      </c>
      <c r="U181" s="3">
        <v>9</v>
      </c>
      <c r="V181" s="3">
        <v>2</v>
      </c>
      <c r="X181" s="2" t="s">
        <v>661</v>
      </c>
      <c r="Y181" s="18">
        <v>1</v>
      </c>
      <c r="Z181" s="18">
        <v>0</v>
      </c>
      <c r="AA181" s="18">
        <v>1</v>
      </c>
      <c r="AB181" s="18">
        <v>0</v>
      </c>
      <c r="AC181" s="18">
        <v>1</v>
      </c>
      <c r="AD181" s="18">
        <v>1</v>
      </c>
      <c r="AE181" s="18">
        <v>0</v>
      </c>
      <c r="AN181" s="3">
        <v>4</v>
      </c>
      <c r="AO181" s="3">
        <v>4</v>
      </c>
      <c r="AP181" s="3">
        <v>5</v>
      </c>
      <c r="AR181" s="2" t="s">
        <v>662</v>
      </c>
    </row>
    <row r="182" spans="1:44" ht="12.75" customHeight="1">
      <c r="A182" s="4">
        <f>DATE(54,5,11)</f>
        <v>19855</v>
      </c>
      <c r="B182" s="2" t="s">
        <v>152</v>
      </c>
      <c r="C182" s="2" t="s">
        <v>168</v>
      </c>
      <c r="E182" s="18">
        <v>4</v>
      </c>
      <c r="F182" s="18">
        <v>0</v>
      </c>
      <c r="G182" s="18">
        <v>0</v>
      </c>
      <c r="H182" s="18">
        <v>0</v>
      </c>
      <c r="I182" s="18">
        <v>0</v>
      </c>
      <c r="J182" s="18">
        <v>1</v>
      </c>
      <c r="K182" s="18">
        <v>0</v>
      </c>
      <c r="L182" s="18">
        <v>0</v>
      </c>
      <c r="T182" s="3">
        <v>5</v>
      </c>
      <c r="U182" s="3">
        <v>6</v>
      </c>
      <c r="V182" s="3">
        <v>3</v>
      </c>
      <c r="X182" s="2" t="s">
        <v>6</v>
      </c>
      <c r="Y182" s="18">
        <v>0</v>
      </c>
      <c r="Z182" s="18">
        <v>1</v>
      </c>
      <c r="AA182" s="18">
        <v>1</v>
      </c>
      <c r="AB182" s="18">
        <v>1</v>
      </c>
      <c r="AC182" s="18">
        <v>2</v>
      </c>
      <c r="AD182" s="18">
        <v>0</v>
      </c>
      <c r="AE182" s="18">
        <v>0</v>
      </c>
      <c r="AF182" s="18">
        <v>0</v>
      </c>
      <c r="AN182" s="3">
        <v>5</v>
      </c>
      <c r="AO182" s="3">
        <v>7</v>
      </c>
      <c r="AP182" s="3">
        <v>2</v>
      </c>
      <c r="AR182" s="2" t="s">
        <v>7</v>
      </c>
    </row>
    <row r="183" spans="1:44" ht="12.75" customHeight="1">
      <c r="A183" s="4">
        <f>DATE(54,5,14)</f>
        <v>19858</v>
      </c>
      <c r="C183" s="2" t="s">
        <v>153</v>
      </c>
      <c r="E183" s="18">
        <v>3</v>
      </c>
      <c r="F183" s="18">
        <v>0</v>
      </c>
      <c r="G183" s="18">
        <v>0</v>
      </c>
      <c r="H183" s="18">
        <v>0</v>
      </c>
      <c r="I183" s="18">
        <v>0</v>
      </c>
      <c r="J183" s="18">
        <v>4</v>
      </c>
      <c r="K183" s="18">
        <v>0</v>
      </c>
      <c r="T183" s="3">
        <v>7</v>
      </c>
      <c r="U183" s="3">
        <v>8</v>
      </c>
      <c r="V183" s="3">
        <v>4</v>
      </c>
      <c r="X183" s="2" t="s">
        <v>8</v>
      </c>
      <c r="Y183" s="18">
        <v>0</v>
      </c>
      <c r="Z183" s="18">
        <v>3</v>
      </c>
      <c r="AA183" s="18">
        <v>0</v>
      </c>
      <c r="AB183" s="18">
        <v>3</v>
      </c>
      <c r="AC183" s="18">
        <v>0</v>
      </c>
      <c r="AD183" s="18">
        <v>2</v>
      </c>
      <c r="AE183" s="18">
        <v>0</v>
      </c>
      <c r="AN183" s="3">
        <v>8</v>
      </c>
      <c r="AO183" s="3">
        <v>12</v>
      </c>
      <c r="AP183" s="3">
        <v>2</v>
      </c>
      <c r="AR183" s="2" t="s">
        <v>5</v>
      </c>
    </row>
    <row r="184" spans="1:44" ht="12.75" customHeight="1">
      <c r="A184" s="4">
        <f>DATE(54,5,17)</f>
        <v>19861</v>
      </c>
      <c r="B184" s="2" t="s">
        <v>152</v>
      </c>
      <c r="C184" s="2" t="s">
        <v>191</v>
      </c>
      <c r="E184" s="18">
        <v>3</v>
      </c>
      <c r="F184" s="18">
        <v>3</v>
      </c>
      <c r="G184" s="18">
        <v>1</v>
      </c>
      <c r="H184" s="18">
        <v>0</v>
      </c>
      <c r="I184" s="18">
        <v>0</v>
      </c>
      <c r="J184" s="18">
        <v>0</v>
      </c>
      <c r="K184" s="18">
        <v>0</v>
      </c>
      <c r="T184" s="3">
        <v>7</v>
      </c>
      <c r="U184" s="3">
        <v>12</v>
      </c>
      <c r="V184" s="3">
        <v>0</v>
      </c>
      <c r="X184" s="2" t="s">
        <v>6</v>
      </c>
      <c r="Y184" s="18">
        <v>3</v>
      </c>
      <c r="Z184" s="18">
        <v>0</v>
      </c>
      <c r="AA184" s="18">
        <v>1</v>
      </c>
      <c r="AB184" s="18">
        <v>1</v>
      </c>
      <c r="AC184" s="18">
        <v>2</v>
      </c>
      <c r="AD184" s="18">
        <v>2</v>
      </c>
      <c r="AE184" s="18" t="s">
        <v>162</v>
      </c>
      <c r="AN184" s="3">
        <v>9</v>
      </c>
      <c r="AO184" s="3">
        <v>10</v>
      </c>
      <c r="AP184" s="3">
        <v>0</v>
      </c>
      <c r="AR184" s="2" t="s">
        <v>9</v>
      </c>
    </row>
    <row r="185" spans="1:44" ht="12.75" customHeight="1">
      <c r="A185" s="4">
        <f>DATE(54,5,18)</f>
        <v>19862</v>
      </c>
      <c r="C185" s="2" t="s">
        <v>174</v>
      </c>
      <c r="E185" s="18">
        <v>0</v>
      </c>
      <c r="F185" s="18">
        <v>2</v>
      </c>
      <c r="G185" s="18">
        <v>0</v>
      </c>
      <c r="H185" s="18">
        <v>1</v>
      </c>
      <c r="I185" s="18">
        <v>0</v>
      </c>
      <c r="J185" s="18">
        <v>0</v>
      </c>
      <c r="K185" s="18">
        <v>0</v>
      </c>
      <c r="T185" s="3">
        <v>3</v>
      </c>
      <c r="U185" s="3">
        <v>7</v>
      </c>
      <c r="V185" s="3">
        <v>3</v>
      </c>
      <c r="X185" s="2" t="s">
        <v>663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5</v>
      </c>
      <c r="AE185" s="18">
        <v>0</v>
      </c>
      <c r="AN185" s="3">
        <v>5</v>
      </c>
      <c r="AO185" s="3">
        <v>7</v>
      </c>
      <c r="AP185" s="3">
        <v>1</v>
      </c>
      <c r="AR185" s="2" t="s">
        <v>219</v>
      </c>
    </row>
    <row r="186" spans="1:44" ht="12.75" customHeight="1">
      <c r="A186" s="4">
        <f>DATE(54,5,21)</f>
        <v>19865</v>
      </c>
      <c r="C186" s="2" t="s">
        <v>191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1</v>
      </c>
      <c r="K186" s="18">
        <v>1</v>
      </c>
      <c r="T186" s="3">
        <v>2</v>
      </c>
      <c r="U186" s="3">
        <v>4</v>
      </c>
      <c r="V186" s="3">
        <v>6</v>
      </c>
      <c r="X186" s="2" t="s">
        <v>664</v>
      </c>
      <c r="Y186" s="18">
        <v>0</v>
      </c>
      <c r="Z186" s="18">
        <v>1</v>
      </c>
      <c r="AA186" s="18">
        <v>1</v>
      </c>
      <c r="AB186" s="18">
        <v>2</v>
      </c>
      <c r="AC186" s="18">
        <v>0</v>
      </c>
      <c r="AD186" s="18">
        <v>0</v>
      </c>
      <c r="AE186" s="18">
        <v>0</v>
      </c>
      <c r="AN186" s="3">
        <v>4</v>
      </c>
      <c r="AO186" s="3">
        <v>5</v>
      </c>
      <c r="AP186" s="3">
        <v>3</v>
      </c>
      <c r="AR186" s="2" t="s">
        <v>665</v>
      </c>
    </row>
    <row r="187" spans="1:44" ht="12.75" customHeight="1">
      <c r="A187" s="4">
        <f>DATE(54,5,24)</f>
        <v>19868</v>
      </c>
      <c r="B187" s="2" t="s">
        <v>152</v>
      </c>
      <c r="C187" s="2" t="s">
        <v>169</v>
      </c>
      <c r="E187" s="18">
        <v>2</v>
      </c>
      <c r="F187" s="18">
        <v>1</v>
      </c>
      <c r="G187" s="18">
        <v>1</v>
      </c>
      <c r="H187" s="18">
        <v>2</v>
      </c>
      <c r="I187" s="18">
        <v>0</v>
      </c>
      <c r="J187" s="18">
        <v>0</v>
      </c>
      <c r="K187" s="18">
        <v>0</v>
      </c>
      <c r="T187" s="3">
        <v>6</v>
      </c>
      <c r="U187" s="3">
        <v>9</v>
      </c>
      <c r="V187" s="3">
        <v>3</v>
      </c>
      <c r="X187" s="2" t="s">
        <v>659</v>
      </c>
      <c r="Y187" s="18">
        <v>0</v>
      </c>
      <c r="Z187" s="18">
        <v>0</v>
      </c>
      <c r="AA187" s="18">
        <v>0</v>
      </c>
      <c r="AB187" s="18">
        <v>2</v>
      </c>
      <c r="AC187" s="18">
        <v>2</v>
      </c>
      <c r="AD187" s="18">
        <v>0</v>
      </c>
      <c r="AE187" s="18">
        <v>0</v>
      </c>
      <c r="AN187" s="3">
        <v>4</v>
      </c>
      <c r="AO187" s="3">
        <v>12</v>
      </c>
      <c r="AP187" s="3">
        <v>3</v>
      </c>
      <c r="AR187" s="2" t="s">
        <v>666</v>
      </c>
    </row>
    <row r="188" spans="1:44" ht="12.75" customHeight="1">
      <c r="A188" s="4">
        <f>DATE(54,5,26)</f>
        <v>19870</v>
      </c>
      <c r="C188" s="2" t="s">
        <v>368</v>
      </c>
      <c r="E188" s="18">
        <v>0</v>
      </c>
      <c r="F188" s="18">
        <v>0</v>
      </c>
      <c r="G188" s="18">
        <v>0</v>
      </c>
      <c r="H188" s="18">
        <v>0</v>
      </c>
      <c r="I188" s="18">
        <v>2</v>
      </c>
      <c r="J188" s="18">
        <v>6</v>
      </c>
      <c r="K188" s="18" t="s">
        <v>162</v>
      </c>
      <c r="T188" s="3">
        <v>8</v>
      </c>
      <c r="U188" s="3">
        <v>9</v>
      </c>
      <c r="V188" s="3">
        <v>4</v>
      </c>
      <c r="X188" s="2" t="s">
        <v>661</v>
      </c>
      <c r="Y188" s="18">
        <v>0</v>
      </c>
      <c r="Z188" s="18">
        <v>1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N188" s="3">
        <v>1</v>
      </c>
      <c r="AO188" s="3">
        <v>1</v>
      </c>
      <c r="AP188" s="3">
        <v>5</v>
      </c>
      <c r="AR188" s="2" t="s">
        <v>10</v>
      </c>
    </row>
    <row r="189" spans="1:44" ht="12.75" customHeight="1">
      <c r="A189" s="4">
        <f>DATE(54,5,26)</f>
        <v>19870</v>
      </c>
      <c r="C189" s="2" t="s">
        <v>368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T189" s="3">
        <v>0</v>
      </c>
      <c r="U189" s="3">
        <v>2</v>
      </c>
      <c r="V189" s="3">
        <v>2</v>
      </c>
      <c r="X189" s="2" t="s">
        <v>663</v>
      </c>
      <c r="Y189" s="18">
        <v>0</v>
      </c>
      <c r="Z189" s="18">
        <v>0</v>
      </c>
      <c r="AA189" s="18">
        <v>0</v>
      </c>
      <c r="AB189" s="18">
        <v>0</v>
      </c>
      <c r="AC189" s="18">
        <v>1</v>
      </c>
      <c r="AN189" s="3">
        <v>1</v>
      </c>
      <c r="AO189" s="3">
        <v>3</v>
      </c>
      <c r="AP189" s="3">
        <v>0</v>
      </c>
      <c r="AR189" s="2" t="s">
        <v>11</v>
      </c>
    </row>
    <row r="190" ht="12.75" customHeight="1">
      <c r="A190" s="4"/>
    </row>
    <row r="191" spans="1:45" ht="12.75" customHeight="1">
      <c r="A191" s="4">
        <f>DATE(55,4,19)</f>
        <v>20198</v>
      </c>
      <c r="C191" s="2" t="s">
        <v>174</v>
      </c>
      <c r="E191" s="18">
        <v>0</v>
      </c>
      <c r="F191" s="18">
        <v>0</v>
      </c>
      <c r="G191" s="18">
        <v>2</v>
      </c>
      <c r="H191" s="18">
        <v>1</v>
      </c>
      <c r="I191" s="18">
        <v>0</v>
      </c>
      <c r="J191" s="18">
        <v>0</v>
      </c>
      <c r="K191" s="18">
        <v>0</v>
      </c>
      <c r="T191" s="3">
        <v>3</v>
      </c>
      <c r="U191" s="3">
        <v>5</v>
      </c>
      <c r="V191" s="3">
        <v>2</v>
      </c>
      <c r="X191" s="2" t="s">
        <v>4</v>
      </c>
      <c r="Y191" s="18">
        <v>0</v>
      </c>
      <c r="Z191" s="18">
        <v>0</v>
      </c>
      <c r="AA191" s="18">
        <v>0</v>
      </c>
      <c r="AB191" s="18">
        <v>3</v>
      </c>
      <c r="AC191" s="18">
        <v>0</v>
      </c>
      <c r="AD191" s="18">
        <v>1</v>
      </c>
      <c r="AE191" s="18">
        <v>1</v>
      </c>
      <c r="AN191" s="3">
        <v>5</v>
      </c>
      <c r="AO191" s="3">
        <v>5</v>
      </c>
      <c r="AP191" s="3">
        <v>1</v>
      </c>
      <c r="AR191" s="2" t="s">
        <v>658</v>
      </c>
      <c r="AS191" s="2" t="s">
        <v>204</v>
      </c>
    </row>
    <row r="192" spans="1:46" ht="12.75" customHeight="1">
      <c r="A192" s="4">
        <f>DATE(55,4,22)</f>
        <v>20201</v>
      </c>
      <c r="C192" s="2" t="s">
        <v>175</v>
      </c>
      <c r="E192" s="18">
        <v>3</v>
      </c>
      <c r="F192" s="18">
        <v>1</v>
      </c>
      <c r="G192" s="18">
        <v>0</v>
      </c>
      <c r="H192" s="18">
        <v>0</v>
      </c>
      <c r="I192" s="18">
        <v>1</v>
      </c>
      <c r="J192" s="18">
        <v>0</v>
      </c>
      <c r="K192" s="18" t="s">
        <v>162</v>
      </c>
      <c r="T192" s="3">
        <v>5</v>
      </c>
      <c r="U192" s="3">
        <v>6</v>
      </c>
      <c r="V192" s="3">
        <v>0</v>
      </c>
      <c r="X192" s="2" t="s">
        <v>663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N192" s="3">
        <v>0</v>
      </c>
      <c r="AO192" s="3">
        <v>1</v>
      </c>
      <c r="AP192" s="3">
        <v>2</v>
      </c>
      <c r="AR192" s="2" t="s">
        <v>667</v>
      </c>
      <c r="AS192" s="2" t="s">
        <v>206</v>
      </c>
      <c r="AT192" s="2" t="s">
        <v>220</v>
      </c>
    </row>
    <row r="193" spans="1:44" ht="12.75" customHeight="1">
      <c r="A193" s="4">
        <f>DATE(55,4,28)</f>
        <v>20207</v>
      </c>
      <c r="B193" s="2" t="s">
        <v>152</v>
      </c>
      <c r="C193" s="2" t="s">
        <v>168</v>
      </c>
      <c r="E193" s="18">
        <v>1</v>
      </c>
      <c r="F193" s="18">
        <v>0</v>
      </c>
      <c r="G193" s="18">
        <v>3</v>
      </c>
      <c r="H193" s="18">
        <v>0</v>
      </c>
      <c r="I193" s="18">
        <v>0</v>
      </c>
      <c r="J193" s="18">
        <v>0</v>
      </c>
      <c r="K193" s="18">
        <v>0</v>
      </c>
      <c r="T193" s="3">
        <v>4</v>
      </c>
      <c r="U193" s="3">
        <v>5</v>
      </c>
      <c r="V193" s="3">
        <v>5</v>
      </c>
      <c r="X193" s="2" t="s">
        <v>12</v>
      </c>
      <c r="Y193" s="18">
        <v>4</v>
      </c>
      <c r="Z193" s="18">
        <v>2</v>
      </c>
      <c r="AA193" s="18">
        <v>6</v>
      </c>
      <c r="AB193" s="18">
        <v>0</v>
      </c>
      <c r="AC193" s="18">
        <v>2</v>
      </c>
      <c r="AD193" s="18">
        <v>0</v>
      </c>
      <c r="AE193" s="18" t="s">
        <v>162</v>
      </c>
      <c r="AN193" s="3">
        <v>14</v>
      </c>
      <c r="AO193" s="3">
        <v>6</v>
      </c>
      <c r="AP193" s="3">
        <v>0</v>
      </c>
      <c r="AR193" s="2" t="s">
        <v>668</v>
      </c>
    </row>
    <row r="194" spans="1:44" ht="12.75" customHeight="1">
      <c r="A194" s="4">
        <f>DATE(55,4,29)</f>
        <v>20208</v>
      </c>
      <c r="C194" s="2" t="s">
        <v>153</v>
      </c>
      <c r="E194" s="18">
        <v>0</v>
      </c>
      <c r="F194" s="18">
        <v>2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T194" s="3">
        <v>2</v>
      </c>
      <c r="U194" s="3">
        <v>7</v>
      </c>
      <c r="V194" s="3">
        <v>2</v>
      </c>
      <c r="X194" s="2" t="s">
        <v>4</v>
      </c>
      <c r="Y194" s="18">
        <v>0</v>
      </c>
      <c r="Z194" s="18">
        <v>0</v>
      </c>
      <c r="AA194" s="18">
        <v>0</v>
      </c>
      <c r="AB194" s="18">
        <v>4</v>
      </c>
      <c r="AC194" s="18">
        <v>1</v>
      </c>
      <c r="AD194" s="18">
        <v>0</v>
      </c>
      <c r="AE194" s="18">
        <v>0</v>
      </c>
      <c r="AN194" s="3">
        <v>5</v>
      </c>
      <c r="AO194" s="3">
        <v>7</v>
      </c>
      <c r="AP194" s="3">
        <v>2</v>
      </c>
      <c r="AR194" s="2" t="s">
        <v>669</v>
      </c>
    </row>
    <row r="195" spans="1:44" ht="12.75" customHeight="1">
      <c r="A195" s="4">
        <f>DATE(55,5,3)</f>
        <v>20212</v>
      </c>
      <c r="B195" s="2" t="s">
        <v>152</v>
      </c>
      <c r="C195" s="2" t="s">
        <v>175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T195" s="3">
        <v>0</v>
      </c>
      <c r="U195" s="3">
        <v>3</v>
      </c>
      <c r="V195" s="3">
        <v>4</v>
      </c>
      <c r="X195" s="2" t="s">
        <v>670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1</v>
      </c>
      <c r="AN195" s="3">
        <v>1</v>
      </c>
      <c r="AO195" s="3">
        <v>2</v>
      </c>
      <c r="AP195" s="3">
        <v>1</v>
      </c>
      <c r="AR195" s="2" t="s">
        <v>671</v>
      </c>
    </row>
    <row r="196" spans="1:44" ht="12.75" customHeight="1">
      <c r="A196" s="4">
        <f>DATE(55,5,5)</f>
        <v>20214</v>
      </c>
      <c r="B196" s="2" t="s">
        <v>152</v>
      </c>
      <c r="C196" s="2" t="s">
        <v>169</v>
      </c>
      <c r="E196" s="18">
        <v>0</v>
      </c>
      <c r="F196" s="18">
        <v>0</v>
      </c>
      <c r="G196" s="18">
        <v>0</v>
      </c>
      <c r="H196" s="18">
        <v>1</v>
      </c>
      <c r="I196" s="18">
        <v>1</v>
      </c>
      <c r="J196" s="18">
        <v>1</v>
      </c>
      <c r="K196" s="18">
        <v>2</v>
      </c>
      <c r="T196" s="3">
        <v>5</v>
      </c>
      <c r="U196" s="3">
        <v>7</v>
      </c>
      <c r="V196" s="3">
        <v>3</v>
      </c>
      <c r="X196" s="2" t="s">
        <v>663</v>
      </c>
      <c r="Y196" s="18">
        <v>0</v>
      </c>
      <c r="Z196" s="18">
        <v>1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N196" s="3">
        <v>1</v>
      </c>
      <c r="AO196" s="3">
        <v>2</v>
      </c>
      <c r="AP196" s="3">
        <v>3</v>
      </c>
      <c r="AR196" s="2" t="s">
        <v>662</v>
      </c>
    </row>
    <row r="197" spans="1:44" ht="12.75" customHeight="1">
      <c r="A197" s="4">
        <f>DATE(55,5,6)</f>
        <v>20215</v>
      </c>
      <c r="C197" s="2" t="s">
        <v>369</v>
      </c>
      <c r="E197" s="18">
        <v>1</v>
      </c>
      <c r="F197" s="18">
        <v>0</v>
      </c>
      <c r="G197" s="18">
        <v>3</v>
      </c>
      <c r="H197" s="18">
        <v>4</v>
      </c>
      <c r="I197" s="18">
        <v>2</v>
      </c>
      <c r="J197" s="18">
        <v>0</v>
      </c>
      <c r="K197" s="18" t="s">
        <v>162</v>
      </c>
      <c r="T197" s="3">
        <v>10</v>
      </c>
      <c r="U197" s="3">
        <v>12</v>
      </c>
      <c r="V197" s="3">
        <v>0</v>
      </c>
      <c r="X197" s="2" t="s">
        <v>13</v>
      </c>
      <c r="Y197" s="18">
        <v>0</v>
      </c>
      <c r="Z197" s="18">
        <v>0</v>
      </c>
      <c r="AA197" s="18">
        <v>1</v>
      </c>
      <c r="AB197" s="18">
        <v>0</v>
      </c>
      <c r="AC197" s="18">
        <v>0</v>
      </c>
      <c r="AD197" s="18">
        <v>0</v>
      </c>
      <c r="AE197" s="18">
        <v>0</v>
      </c>
      <c r="AN197" s="3">
        <v>1</v>
      </c>
      <c r="AO197" s="3">
        <v>3</v>
      </c>
      <c r="AP197" s="3">
        <v>2</v>
      </c>
      <c r="AR197" s="2" t="s">
        <v>14</v>
      </c>
    </row>
    <row r="198" spans="1:44" ht="12.75" customHeight="1">
      <c r="A198" s="4">
        <f>DATE(55,5,10)</f>
        <v>20219</v>
      </c>
      <c r="C198" s="2" t="s">
        <v>168</v>
      </c>
      <c r="E198" s="18">
        <v>2</v>
      </c>
      <c r="F198" s="18">
        <v>1</v>
      </c>
      <c r="G198" s="18">
        <v>3</v>
      </c>
      <c r="H198" s="18">
        <v>0</v>
      </c>
      <c r="I198" s="18">
        <v>0</v>
      </c>
      <c r="J198" s="18">
        <v>1</v>
      </c>
      <c r="K198" s="18" t="s">
        <v>162</v>
      </c>
      <c r="T198" s="3">
        <v>7</v>
      </c>
      <c r="U198" s="3">
        <v>6</v>
      </c>
      <c r="V198" s="3">
        <v>3</v>
      </c>
      <c r="X198" s="2" t="s">
        <v>8</v>
      </c>
      <c r="Y198" s="18">
        <v>0</v>
      </c>
      <c r="Z198" s="18">
        <v>2</v>
      </c>
      <c r="AA198" s="18">
        <v>0</v>
      </c>
      <c r="AB198" s="18">
        <v>0</v>
      </c>
      <c r="AC198" s="18">
        <v>0</v>
      </c>
      <c r="AD198" s="18">
        <v>1</v>
      </c>
      <c r="AE198" s="18">
        <v>1</v>
      </c>
      <c r="AN198" s="3">
        <v>4</v>
      </c>
      <c r="AO198" s="3">
        <v>5</v>
      </c>
      <c r="AP198" s="3">
        <v>0</v>
      </c>
      <c r="AR198" s="2" t="s">
        <v>15</v>
      </c>
    </row>
    <row r="199" spans="1:44" ht="12.75" customHeight="1">
      <c r="A199" s="4">
        <f>DATE(55,5,12)</f>
        <v>20221</v>
      </c>
      <c r="B199" s="2" t="s">
        <v>152</v>
      </c>
      <c r="C199" s="2" t="s">
        <v>369</v>
      </c>
      <c r="E199" s="18">
        <v>0</v>
      </c>
      <c r="F199" s="18">
        <v>4</v>
      </c>
      <c r="G199" s="18">
        <v>1</v>
      </c>
      <c r="H199" s="18">
        <v>1</v>
      </c>
      <c r="I199" s="18">
        <v>2</v>
      </c>
      <c r="J199" s="18">
        <v>0</v>
      </c>
      <c r="K199" s="18">
        <v>3</v>
      </c>
      <c r="T199" s="3">
        <v>11</v>
      </c>
      <c r="U199" s="3">
        <v>12</v>
      </c>
      <c r="V199" s="3">
        <v>1</v>
      </c>
      <c r="X199" s="2" t="s">
        <v>672</v>
      </c>
      <c r="Y199" s="18">
        <v>1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N199" s="3">
        <v>1</v>
      </c>
      <c r="AO199" s="3">
        <v>1</v>
      </c>
      <c r="AP199" s="3">
        <v>9</v>
      </c>
      <c r="AR199" s="2" t="s">
        <v>221</v>
      </c>
    </row>
    <row r="200" spans="1:44" ht="12.75" customHeight="1">
      <c r="A200" s="4">
        <f>DATE(55,5,13)</f>
        <v>20222</v>
      </c>
      <c r="B200" s="2" t="s">
        <v>152</v>
      </c>
      <c r="C200" s="2" t="s">
        <v>153</v>
      </c>
      <c r="E200" s="18">
        <v>3</v>
      </c>
      <c r="F200" s="18">
        <v>0</v>
      </c>
      <c r="G200" s="18">
        <v>0</v>
      </c>
      <c r="H200" s="18">
        <v>0</v>
      </c>
      <c r="I200" s="18">
        <v>0</v>
      </c>
      <c r="J200" s="18">
        <v>3</v>
      </c>
      <c r="K200" s="18">
        <v>1</v>
      </c>
      <c r="T200" s="3">
        <v>7</v>
      </c>
      <c r="U200" s="3">
        <v>9</v>
      </c>
      <c r="V200" s="3">
        <v>3</v>
      </c>
      <c r="X200" s="2" t="s">
        <v>663</v>
      </c>
      <c r="Y200" s="18">
        <v>0</v>
      </c>
      <c r="Z200" s="18">
        <v>0</v>
      </c>
      <c r="AA200" s="18">
        <v>3</v>
      </c>
      <c r="AB200" s="18">
        <v>0</v>
      </c>
      <c r="AC200" s="18">
        <v>0</v>
      </c>
      <c r="AD200" s="18">
        <v>0</v>
      </c>
      <c r="AE200" s="18">
        <v>0</v>
      </c>
      <c r="AN200" s="3">
        <v>3</v>
      </c>
      <c r="AO200" s="3">
        <v>5</v>
      </c>
      <c r="AP200" s="3">
        <v>2</v>
      </c>
      <c r="AR200" s="2" t="s">
        <v>16</v>
      </c>
    </row>
    <row r="201" spans="1:44" ht="12.75" customHeight="1">
      <c r="A201" s="4">
        <f>DATE(55,5,16)</f>
        <v>20225</v>
      </c>
      <c r="C201" s="2" t="s">
        <v>191</v>
      </c>
      <c r="E201" s="18">
        <v>0</v>
      </c>
      <c r="F201" s="18">
        <v>0</v>
      </c>
      <c r="G201" s="18">
        <v>0</v>
      </c>
      <c r="H201" s="18">
        <v>0</v>
      </c>
      <c r="I201" s="18">
        <v>3</v>
      </c>
      <c r="J201" s="18">
        <v>1</v>
      </c>
      <c r="K201" s="18" t="s">
        <v>162</v>
      </c>
      <c r="T201" s="3">
        <v>4</v>
      </c>
      <c r="U201" s="3">
        <v>7</v>
      </c>
      <c r="V201" s="3">
        <v>1</v>
      </c>
      <c r="X201" s="2" t="s">
        <v>661</v>
      </c>
      <c r="Y201" s="18">
        <v>1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N201" s="3">
        <v>1</v>
      </c>
      <c r="AO201" s="3">
        <v>4</v>
      </c>
      <c r="AP201" s="3">
        <v>3</v>
      </c>
      <c r="AR201" s="2" t="s">
        <v>673</v>
      </c>
    </row>
    <row r="202" spans="1:44" ht="12.75" customHeight="1">
      <c r="A202" s="4">
        <f>DATE(55,5,17)</f>
        <v>20226</v>
      </c>
      <c r="B202" s="2" t="s">
        <v>152</v>
      </c>
      <c r="C202" s="2" t="s">
        <v>174</v>
      </c>
      <c r="E202" s="18">
        <v>1</v>
      </c>
      <c r="F202" s="18">
        <v>0</v>
      </c>
      <c r="G202" s="18">
        <v>0</v>
      </c>
      <c r="H202" s="18">
        <v>2</v>
      </c>
      <c r="I202" s="18">
        <v>0</v>
      </c>
      <c r="J202" s="18">
        <v>3</v>
      </c>
      <c r="K202" s="18">
        <v>0</v>
      </c>
      <c r="T202" s="3">
        <v>6</v>
      </c>
      <c r="U202" s="3">
        <v>7</v>
      </c>
      <c r="V202" s="3">
        <v>3</v>
      </c>
      <c r="X202" s="2" t="s">
        <v>674</v>
      </c>
      <c r="Y202" s="18">
        <v>0</v>
      </c>
      <c r="Z202" s="18">
        <v>2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N202" s="3">
        <v>2</v>
      </c>
      <c r="AO202" s="3">
        <v>9</v>
      </c>
      <c r="AP202" s="3">
        <v>3</v>
      </c>
      <c r="AR202" s="2" t="s">
        <v>658</v>
      </c>
    </row>
    <row r="203" spans="1:44" ht="12.75" customHeight="1">
      <c r="A203" s="4">
        <f>DATE(55,5,20)</f>
        <v>20229</v>
      </c>
      <c r="B203" s="2" t="s">
        <v>152</v>
      </c>
      <c r="C203" s="2" t="s">
        <v>191</v>
      </c>
      <c r="E203" s="18">
        <v>0</v>
      </c>
      <c r="F203" s="18">
        <v>0</v>
      </c>
      <c r="G203" s="18">
        <v>0</v>
      </c>
      <c r="H203" s="18">
        <v>0</v>
      </c>
      <c r="I203" s="18">
        <v>1</v>
      </c>
      <c r="J203" s="18">
        <v>3</v>
      </c>
      <c r="K203" s="18">
        <v>0</v>
      </c>
      <c r="T203" s="3">
        <v>4</v>
      </c>
      <c r="U203" s="3">
        <v>7</v>
      </c>
      <c r="V203" s="3">
        <v>0</v>
      </c>
      <c r="X203" s="2" t="s">
        <v>663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N203" s="3">
        <v>0</v>
      </c>
      <c r="AO203" s="3">
        <v>5</v>
      </c>
      <c r="AP203" s="3">
        <v>0</v>
      </c>
      <c r="AR203" s="2" t="s">
        <v>675</v>
      </c>
    </row>
    <row r="204" spans="1:44" ht="12.75" customHeight="1">
      <c r="A204" s="4">
        <f>DATE(55,5,24)</f>
        <v>20233</v>
      </c>
      <c r="C204" s="2" t="s">
        <v>169</v>
      </c>
      <c r="E204" s="18">
        <v>0</v>
      </c>
      <c r="F204" s="18">
        <v>1</v>
      </c>
      <c r="G204" s="18">
        <v>2</v>
      </c>
      <c r="H204" s="18">
        <v>0</v>
      </c>
      <c r="I204" s="18">
        <v>2</v>
      </c>
      <c r="J204" s="18">
        <v>0</v>
      </c>
      <c r="K204" s="18">
        <v>0</v>
      </c>
      <c r="T204" s="3">
        <v>5</v>
      </c>
      <c r="U204" s="3">
        <v>7</v>
      </c>
      <c r="V204" s="3">
        <v>3</v>
      </c>
      <c r="X204" s="2" t="s">
        <v>13</v>
      </c>
      <c r="Y204" s="18">
        <v>0</v>
      </c>
      <c r="Z204" s="18">
        <v>1</v>
      </c>
      <c r="AA204" s="18">
        <v>2</v>
      </c>
      <c r="AB204" s="18">
        <v>2</v>
      </c>
      <c r="AC204" s="18">
        <v>3</v>
      </c>
      <c r="AD204" s="18">
        <v>0</v>
      </c>
      <c r="AE204" s="18">
        <v>0</v>
      </c>
      <c r="AN204" s="3">
        <v>8</v>
      </c>
      <c r="AO204" s="3">
        <v>5</v>
      </c>
      <c r="AP204" s="3">
        <v>2</v>
      </c>
      <c r="AR204" s="2" t="s">
        <v>17</v>
      </c>
    </row>
    <row r="205" ht="12.75" customHeight="1">
      <c r="A205" s="4"/>
    </row>
    <row r="206" spans="1:44" ht="12.75" customHeight="1">
      <c r="A206" s="4">
        <f>DATE(56,4,20)</f>
        <v>20565</v>
      </c>
      <c r="B206" s="2" t="s">
        <v>152</v>
      </c>
      <c r="C206" s="2" t="s">
        <v>175</v>
      </c>
      <c r="E206" s="18">
        <v>4</v>
      </c>
      <c r="F206" s="18">
        <v>1</v>
      </c>
      <c r="G206" s="18">
        <v>0</v>
      </c>
      <c r="H206" s="18">
        <v>1</v>
      </c>
      <c r="I206" s="18">
        <v>0</v>
      </c>
      <c r="J206" s="18">
        <v>0</v>
      </c>
      <c r="K206" s="18">
        <v>2</v>
      </c>
      <c r="T206" s="3">
        <v>8</v>
      </c>
      <c r="U206" s="3">
        <v>8</v>
      </c>
      <c r="V206" s="3">
        <v>9</v>
      </c>
      <c r="X206" s="2" t="s">
        <v>4</v>
      </c>
      <c r="Y206" s="18">
        <v>4</v>
      </c>
      <c r="Z206" s="18">
        <v>2</v>
      </c>
      <c r="AA206" s="18">
        <v>5</v>
      </c>
      <c r="AB206" s="18">
        <v>0</v>
      </c>
      <c r="AC206" s="18">
        <v>3</v>
      </c>
      <c r="AD206" s="18">
        <v>0</v>
      </c>
      <c r="AE206" s="18" t="s">
        <v>162</v>
      </c>
      <c r="AN206" s="3">
        <v>14</v>
      </c>
      <c r="AO206" s="3">
        <v>7</v>
      </c>
      <c r="AP206" s="3">
        <v>3</v>
      </c>
      <c r="AR206" s="2" t="s">
        <v>676</v>
      </c>
    </row>
    <row r="207" spans="1:46" ht="12.75" customHeight="1">
      <c r="A207" s="4">
        <f>DATE(56,4,25)</f>
        <v>20570</v>
      </c>
      <c r="B207" s="2" t="s">
        <v>152</v>
      </c>
      <c r="C207" s="2" t="s">
        <v>153</v>
      </c>
      <c r="E207" s="18">
        <v>1</v>
      </c>
      <c r="F207" s="18">
        <v>1</v>
      </c>
      <c r="G207" s="18">
        <v>0</v>
      </c>
      <c r="H207" s="18">
        <v>0</v>
      </c>
      <c r="I207" s="18">
        <v>1</v>
      </c>
      <c r="J207" s="18">
        <v>0</v>
      </c>
      <c r="K207" s="18">
        <v>0</v>
      </c>
      <c r="T207" s="3">
        <v>3</v>
      </c>
      <c r="U207" s="3">
        <v>10</v>
      </c>
      <c r="V207" s="3">
        <v>4</v>
      </c>
      <c r="X207" s="2" t="s">
        <v>677</v>
      </c>
      <c r="Y207" s="18">
        <v>0</v>
      </c>
      <c r="Z207" s="18">
        <v>3</v>
      </c>
      <c r="AA207" s="18">
        <v>0</v>
      </c>
      <c r="AB207" s="18">
        <v>4</v>
      </c>
      <c r="AC207" s="18">
        <v>2</v>
      </c>
      <c r="AD207" s="18">
        <v>0</v>
      </c>
      <c r="AN207" s="3">
        <v>9</v>
      </c>
      <c r="AO207" s="3">
        <v>5</v>
      </c>
      <c r="AP207" s="3">
        <v>3</v>
      </c>
      <c r="AR207" s="2" t="s">
        <v>678</v>
      </c>
      <c r="AS207" s="2" t="s">
        <v>190</v>
      </c>
      <c r="AT207" s="2" t="s">
        <v>194</v>
      </c>
    </row>
    <row r="208" spans="1:44" ht="12.75" customHeight="1">
      <c r="A208" s="4">
        <f>DATE(56,5,1)</f>
        <v>20576</v>
      </c>
      <c r="C208" s="2" t="s">
        <v>175</v>
      </c>
      <c r="E208" s="18">
        <v>1</v>
      </c>
      <c r="F208" s="18">
        <v>4</v>
      </c>
      <c r="G208" s="18">
        <v>2</v>
      </c>
      <c r="H208" s="18">
        <v>0</v>
      </c>
      <c r="I208" s="18">
        <v>0</v>
      </c>
      <c r="J208" s="18">
        <v>0</v>
      </c>
      <c r="K208" s="18" t="s">
        <v>162</v>
      </c>
      <c r="T208" s="3">
        <v>7</v>
      </c>
      <c r="U208" s="3">
        <v>10</v>
      </c>
      <c r="V208" s="3">
        <v>2</v>
      </c>
      <c r="X208" s="2" t="s">
        <v>674</v>
      </c>
      <c r="Y208" s="18">
        <v>0</v>
      </c>
      <c r="Z208" s="18">
        <v>0</v>
      </c>
      <c r="AA208" s="18">
        <v>0</v>
      </c>
      <c r="AB208" s="18">
        <v>0</v>
      </c>
      <c r="AC208" s="18">
        <v>1</v>
      </c>
      <c r="AD208" s="18">
        <v>0</v>
      </c>
      <c r="AE208" s="18">
        <v>2</v>
      </c>
      <c r="AN208" s="3">
        <v>3</v>
      </c>
      <c r="AO208" s="3">
        <v>4</v>
      </c>
      <c r="AP208" s="3">
        <v>2</v>
      </c>
      <c r="AR208" s="2" t="s">
        <v>679</v>
      </c>
    </row>
    <row r="209" spans="1:44" ht="12.75" customHeight="1">
      <c r="A209" s="4">
        <f>DATE(56,5,8)</f>
        <v>20583</v>
      </c>
      <c r="B209" s="2" t="s">
        <v>152</v>
      </c>
      <c r="C209" s="2" t="s">
        <v>168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T209" s="3">
        <v>0</v>
      </c>
      <c r="U209" s="3">
        <v>4</v>
      </c>
      <c r="V209" s="3">
        <v>4</v>
      </c>
      <c r="X209" s="2" t="s">
        <v>680</v>
      </c>
      <c r="Y209" s="18"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1</v>
      </c>
      <c r="AN209" s="3">
        <v>1</v>
      </c>
      <c r="AO209" s="3">
        <v>3</v>
      </c>
      <c r="AP209" s="3">
        <v>2</v>
      </c>
      <c r="AR209" s="2" t="s">
        <v>681</v>
      </c>
    </row>
    <row r="210" spans="1:44" ht="12.75" customHeight="1">
      <c r="A210" s="4">
        <f>DATE(56,5,8)</f>
        <v>20583</v>
      </c>
      <c r="B210" s="2" t="s">
        <v>152</v>
      </c>
      <c r="C210" s="2" t="s">
        <v>168</v>
      </c>
      <c r="E210" s="18">
        <v>6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T210" s="3">
        <v>6</v>
      </c>
      <c r="U210" s="3">
        <v>9</v>
      </c>
      <c r="V210" s="3">
        <v>4</v>
      </c>
      <c r="X210" s="2" t="s">
        <v>682</v>
      </c>
      <c r="Y210" s="18">
        <v>2</v>
      </c>
      <c r="Z210" s="18">
        <v>7</v>
      </c>
      <c r="AA210" s="18">
        <v>0</v>
      </c>
      <c r="AB210" s="18">
        <v>3</v>
      </c>
      <c r="AC210" s="18">
        <v>0</v>
      </c>
      <c r="AD210" s="18">
        <v>1</v>
      </c>
      <c r="AE210" s="18" t="s">
        <v>162</v>
      </c>
      <c r="AN210" s="3">
        <v>13</v>
      </c>
      <c r="AO210" s="3">
        <v>9</v>
      </c>
      <c r="AP210" s="3">
        <v>2</v>
      </c>
      <c r="AR210" s="2" t="s">
        <v>222</v>
      </c>
    </row>
    <row r="211" spans="1:44" ht="12.75" customHeight="1">
      <c r="A211" s="4">
        <f>DATE(56,5,9)</f>
        <v>20584</v>
      </c>
      <c r="B211" s="2" t="s">
        <v>152</v>
      </c>
      <c r="C211" s="2" t="s">
        <v>169</v>
      </c>
      <c r="E211" s="18">
        <v>0</v>
      </c>
      <c r="F211" s="18">
        <v>1</v>
      </c>
      <c r="G211" s="18">
        <v>4</v>
      </c>
      <c r="H211" s="18">
        <v>3</v>
      </c>
      <c r="I211" s="18">
        <v>3</v>
      </c>
      <c r="J211" s="18">
        <v>0</v>
      </c>
      <c r="K211" s="18">
        <v>2</v>
      </c>
      <c r="T211" s="3">
        <v>13</v>
      </c>
      <c r="U211" s="3">
        <v>17</v>
      </c>
      <c r="V211" s="3">
        <v>0</v>
      </c>
      <c r="X211" s="2" t="s">
        <v>674</v>
      </c>
      <c r="Y211" s="18">
        <v>0</v>
      </c>
      <c r="Z211" s="18">
        <v>0</v>
      </c>
      <c r="AA211" s="18">
        <v>0</v>
      </c>
      <c r="AB211" s="18">
        <v>0</v>
      </c>
      <c r="AC211" s="18">
        <v>4</v>
      </c>
      <c r="AD211" s="18">
        <v>0</v>
      </c>
      <c r="AE211" s="18">
        <v>0</v>
      </c>
      <c r="AN211" s="3">
        <v>4</v>
      </c>
      <c r="AO211" s="3">
        <v>6</v>
      </c>
      <c r="AP211" s="3">
        <v>4</v>
      </c>
      <c r="AR211" s="2" t="s">
        <v>683</v>
      </c>
    </row>
    <row r="212" spans="1:44" ht="12.75" customHeight="1">
      <c r="A212" s="4">
        <f>DATE(56,5,15)</f>
        <v>20590</v>
      </c>
      <c r="C212" s="2" t="s">
        <v>174</v>
      </c>
      <c r="E212" s="18">
        <v>0</v>
      </c>
      <c r="F212" s="18">
        <v>3</v>
      </c>
      <c r="G212" s="18">
        <v>1</v>
      </c>
      <c r="H212" s="18">
        <v>0</v>
      </c>
      <c r="I212" s="18">
        <v>0</v>
      </c>
      <c r="J212" s="18">
        <v>0</v>
      </c>
      <c r="K212" s="18">
        <v>1</v>
      </c>
      <c r="T212" s="3">
        <v>5</v>
      </c>
      <c r="U212" s="3">
        <v>9</v>
      </c>
      <c r="V212" s="3">
        <v>5</v>
      </c>
      <c r="X212" s="2" t="s">
        <v>686</v>
      </c>
      <c r="Y212" s="18">
        <v>0</v>
      </c>
      <c r="Z212" s="18">
        <v>0</v>
      </c>
      <c r="AA212" s="18">
        <v>0</v>
      </c>
      <c r="AB212" s="18">
        <v>4</v>
      </c>
      <c r="AC212" s="18">
        <v>2</v>
      </c>
      <c r="AD212" s="18">
        <v>4</v>
      </c>
      <c r="AE212" s="18">
        <v>0</v>
      </c>
      <c r="AN212" s="3">
        <v>10</v>
      </c>
      <c r="AO212" s="3">
        <v>6</v>
      </c>
      <c r="AP212" s="3">
        <v>0</v>
      </c>
      <c r="AR212" s="2" t="s">
        <v>223</v>
      </c>
    </row>
    <row r="213" spans="1:44" ht="12.75" customHeight="1">
      <c r="A213" s="4">
        <f>DATE(56,5,17)</f>
        <v>20592</v>
      </c>
      <c r="C213" s="2" t="s">
        <v>191</v>
      </c>
      <c r="E213" s="18">
        <v>4</v>
      </c>
      <c r="F213" s="18">
        <v>1</v>
      </c>
      <c r="G213" s="18">
        <v>3</v>
      </c>
      <c r="H213" s="18">
        <v>0</v>
      </c>
      <c r="I213" s="18">
        <v>0</v>
      </c>
      <c r="J213" s="18">
        <v>0</v>
      </c>
      <c r="K213" s="18" t="s">
        <v>162</v>
      </c>
      <c r="T213" s="3">
        <v>8</v>
      </c>
      <c r="U213" s="3">
        <v>10</v>
      </c>
      <c r="V213" s="3">
        <v>8</v>
      </c>
      <c r="X213" s="2" t="s">
        <v>672</v>
      </c>
      <c r="Y213" s="18">
        <v>3</v>
      </c>
      <c r="Z213" s="18">
        <v>0</v>
      </c>
      <c r="AA213" s="18">
        <v>0</v>
      </c>
      <c r="AB213" s="18">
        <v>2</v>
      </c>
      <c r="AC213" s="18">
        <v>0</v>
      </c>
      <c r="AD213" s="18">
        <v>1</v>
      </c>
      <c r="AE213" s="18">
        <v>0</v>
      </c>
      <c r="AN213" s="3">
        <v>6</v>
      </c>
      <c r="AO213" s="3">
        <v>7</v>
      </c>
      <c r="AP213" s="3">
        <v>2</v>
      </c>
      <c r="AR213" s="2" t="s">
        <v>224</v>
      </c>
    </row>
    <row r="214" spans="1:44" ht="12.75" customHeight="1">
      <c r="A214" s="4">
        <f>DATE(56,5,18)</f>
        <v>20593</v>
      </c>
      <c r="C214" s="2" t="s">
        <v>368</v>
      </c>
      <c r="E214" s="18">
        <v>1</v>
      </c>
      <c r="F214" s="18">
        <v>0</v>
      </c>
      <c r="G214" s="18">
        <v>0</v>
      </c>
      <c r="H214" s="18">
        <v>0</v>
      </c>
      <c r="I214" s="18">
        <v>1</v>
      </c>
      <c r="J214" s="18">
        <v>0</v>
      </c>
      <c r="K214" s="18">
        <v>0</v>
      </c>
      <c r="T214" s="3">
        <v>2</v>
      </c>
      <c r="U214" s="3">
        <v>3</v>
      </c>
      <c r="V214" s="3">
        <v>0</v>
      </c>
      <c r="X214" s="2" t="s">
        <v>674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N214" s="3">
        <v>0</v>
      </c>
      <c r="AO214" s="3">
        <v>2</v>
      </c>
      <c r="AP214" s="3">
        <v>2</v>
      </c>
      <c r="AR214" s="2" t="s">
        <v>225</v>
      </c>
    </row>
    <row r="215" spans="1:44" ht="12.75" customHeight="1">
      <c r="A215" s="4">
        <f>DATE(56,5,18)</f>
        <v>20593</v>
      </c>
      <c r="C215" s="2" t="s">
        <v>368</v>
      </c>
      <c r="E215" s="18">
        <v>0</v>
      </c>
      <c r="F215" s="18">
        <v>0</v>
      </c>
      <c r="G215" s="18">
        <v>0</v>
      </c>
      <c r="H215" s="18">
        <v>0</v>
      </c>
      <c r="I215" s="18">
        <v>1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T215" s="3">
        <v>1</v>
      </c>
      <c r="U215" s="3">
        <v>7</v>
      </c>
      <c r="V215" s="3">
        <v>3</v>
      </c>
      <c r="X215" s="2" t="s">
        <v>687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1</v>
      </c>
      <c r="AF215" s="18">
        <v>0</v>
      </c>
      <c r="AG215" s="18">
        <v>0</v>
      </c>
      <c r="AH215" s="18">
        <v>1</v>
      </c>
      <c r="AN215" s="3">
        <v>2</v>
      </c>
      <c r="AO215" s="3">
        <v>3</v>
      </c>
      <c r="AP215" s="3">
        <v>1</v>
      </c>
      <c r="AR215" s="2" t="s">
        <v>688</v>
      </c>
    </row>
    <row r="216" spans="1:44" ht="12.75" customHeight="1">
      <c r="A216" s="4">
        <f>DATE(56,5,21)</f>
        <v>20596</v>
      </c>
      <c r="C216" s="2" t="s">
        <v>169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T216" s="3">
        <v>0</v>
      </c>
      <c r="U216" s="3">
        <v>2</v>
      </c>
      <c r="V216" s="3">
        <v>7</v>
      </c>
      <c r="X216" s="2" t="s">
        <v>689</v>
      </c>
      <c r="Y216" s="18">
        <v>1</v>
      </c>
      <c r="Z216" s="18">
        <v>1</v>
      </c>
      <c r="AA216" s="18">
        <v>2</v>
      </c>
      <c r="AB216" s="18">
        <v>2</v>
      </c>
      <c r="AC216" s="18">
        <v>0</v>
      </c>
      <c r="AD216" s="18">
        <v>0</v>
      </c>
      <c r="AE216" s="18">
        <v>0</v>
      </c>
      <c r="AN216" s="3">
        <v>6</v>
      </c>
      <c r="AO216" s="3">
        <v>7</v>
      </c>
      <c r="AP216" s="3">
        <v>2</v>
      </c>
      <c r="AR216" s="2" t="s">
        <v>690</v>
      </c>
    </row>
    <row r="217" ht="12.75" customHeight="1">
      <c r="A217" s="4"/>
    </row>
    <row r="218" spans="1:44" ht="12.75" customHeight="1">
      <c r="A218" s="4">
        <f>DATE(57,4,16)</f>
        <v>20926</v>
      </c>
      <c r="B218" s="2" t="s">
        <v>152</v>
      </c>
      <c r="C218" s="2" t="s">
        <v>174</v>
      </c>
      <c r="E218" s="18">
        <v>1</v>
      </c>
      <c r="F218" s="18">
        <v>5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T218" s="3">
        <v>6</v>
      </c>
      <c r="U218" s="3">
        <v>5</v>
      </c>
      <c r="V218" s="3">
        <v>0</v>
      </c>
      <c r="X218" s="2" t="s">
        <v>674</v>
      </c>
      <c r="Y218" s="18">
        <v>0</v>
      </c>
      <c r="Z218" s="18">
        <v>3</v>
      </c>
      <c r="AA218" s="18">
        <v>0</v>
      </c>
      <c r="AB218" s="18">
        <v>0</v>
      </c>
      <c r="AC218" s="18">
        <v>0</v>
      </c>
      <c r="AD218" s="18">
        <v>2</v>
      </c>
      <c r="AE218" s="18">
        <v>0</v>
      </c>
      <c r="AN218" s="3">
        <v>5</v>
      </c>
      <c r="AO218" s="3">
        <v>7</v>
      </c>
      <c r="AP218" s="3">
        <v>4</v>
      </c>
      <c r="AR218" s="2" t="s">
        <v>226</v>
      </c>
    </row>
    <row r="219" spans="1:46" ht="12.75" customHeight="1">
      <c r="A219" s="4">
        <f>DATE(57,4,23)</f>
        <v>20933</v>
      </c>
      <c r="B219" s="2" t="s">
        <v>152</v>
      </c>
      <c r="C219" s="2" t="s">
        <v>168</v>
      </c>
      <c r="E219" s="18">
        <v>0</v>
      </c>
      <c r="F219" s="18">
        <v>0</v>
      </c>
      <c r="G219" s="18">
        <v>0</v>
      </c>
      <c r="H219" s="18">
        <v>1</v>
      </c>
      <c r="I219" s="18">
        <v>0</v>
      </c>
      <c r="J219" s="18">
        <v>1</v>
      </c>
      <c r="K219" s="18">
        <v>0</v>
      </c>
      <c r="T219" s="3">
        <v>2</v>
      </c>
      <c r="U219" s="3">
        <v>3</v>
      </c>
      <c r="V219" s="3">
        <v>1</v>
      </c>
      <c r="X219" s="2" t="s">
        <v>674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N219" s="3">
        <v>0</v>
      </c>
      <c r="AO219" s="3">
        <v>3</v>
      </c>
      <c r="AP219" s="3">
        <v>1</v>
      </c>
      <c r="AR219" s="2" t="s">
        <v>227</v>
      </c>
      <c r="AS219" s="2" t="s">
        <v>196</v>
      </c>
      <c r="AT219" s="2" t="s">
        <v>220</v>
      </c>
    </row>
    <row r="220" spans="1:44" ht="12.75" customHeight="1">
      <c r="A220" s="4">
        <f>DATE(57,4,26)</f>
        <v>20936</v>
      </c>
      <c r="C220" s="2" t="s">
        <v>169</v>
      </c>
      <c r="E220" s="18">
        <v>0</v>
      </c>
      <c r="F220" s="18">
        <v>0</v>
      </c>
      <c r="G220" s="18">
        <v>4</v>
      </c>
      <c r="H220" s="18">
        <v>0</v>
      </c>
      <c r="I220" s="18">
        <v>0</v>
      </c>
      <c r="J220" s="18">
        <v>1</v>
      </c>
      <c r="K220" s="18" t="s">
        <v>162</v>
      </c>
      <c r="T220" s="3">
        <v>5</v>
      </c>
      <c r="U220" s="3">
        <v>7</v>
      </c>
      <c r="V220" s="3">
        <v>1</v>
      </c>
      <c r="X220" s="2" t="s">
        <v>682</v>
      </c>
      <c r="Y220" s="18">
        <v>2</v>
      </c>
      <c r="Z220" s="18">
        <v>1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N220" s="3">
        <v>3</v>
      </c>
      <c r="AO220" s="3">
        <v>8</v>
      </c>
      <c r="AP220" s="3">
        <v>1</v>
      </c>
      <c r="AR220" s="2" t="s">
        <v>691</v>
      </c>
    </row>
    <row r="221" spans="1:44" ht="12.75" customHeight="1">
      <c r="A221" s="4">
        <f>DATE(57,4,29)</f>
        <v>20939</v>
      </c>
      <c r="C221" s="2" t="s">
        <v>153</v>
      </c>
      <c r="E221" s="18">
        <v>4</v>
      </c>
      <c r="F221" s="18">
        <v>1</v>
      </c>
      <c r="G221" s="18">
        <v>0</v>
      </c>
      <c r="H221" s="18">
        <v>5</v>
      </c>
      <c r="I221" s="18">
        <v>2</v>
      </c>
      <c r="J221" s="18">
        <v>0</v>
      </c>
      <c r="K221" s="18" t="s">
        <v>162</v>
      </c>
      <c r="T221" s="3">
        <v>12</v>
      </c>
      <c r="U221" s="3">
        <v>9</v>
      </c>
      <c r="V221" s="3">
        <v>2</v>
      </c>
      <c r="X221" s="2" t="s">
        <v>674</v>
      </c>
      <c r="Y221" s="18">
        <v>0</v>
      </c>
      <c r="Z221" s="18">
        <v>0</v>
      </c>
      <c r="AA221" s="18">
        <v>0</v>
      </c>
      <c r="AB221" s="18">
        <v>1</v>
      </c>
      <c r="AC221" s="18">
        <v>2</v>
      </c>
      <c r="AD221" s="18">
        <v>0</v>
      </c>
      <c r="AE221" s="18">
        <v>0</v>
      </c>
      <c r="AN221" s="3">
        <v>3</v>
      </c>
      <c r="AO221" s="3">
        <v>9</v>
      </c>
      <c r="AP221" s="3">
        <v>5</v>
      </c>
      <c r="AR221" s="2" t="s">
        <v>228</v>
      </c>
    </row>
    <row r="222" spans="1:44" ht="12.75" customHeight="1">
      <c r="A222" s="4">
        <f>DATE(57,5,3)</f>
        <v>20943</v>
      </c>
      <c r="C222" s="2" t="s">
        <v>175</v>
      </c>
      <c r="E222" s="18">
        <v>0</v>
      </c>
      <c r="F222" s="18">
        <v>2</v>
      </c>
      <c r="G222" s="18">
        <v>0</v>
      </c>
      <c r="H222" s="18">
        <v>1</v>
      </c>
      <c r="I222" s="18">
        <v>0</v>
      </c>
      <c r="J222" s="18">
        <v>0</v>
      </c>
      <c r="T222" s="3">
        <v>3</v>
      </c>
      <c r="U222" s="3">
        <v>6</v>
      </c>
      <c r="V222" s="3">
        <v>2</v>
      </c>
      <c r="X222" s="2" t="s">
        <v>692</v>
      </c>
      <c r="Y222" s="18">
        <v>0</v>
      </c>
      <c r="Z222" s="18">
        <v>0</v>
      </c>
      <c r="AA222" s="18">
        <v>0</v>
      </c>
      <c r="AB222" s="18">
        <v>2</v>
      </c>
      <c r="AC222" s="18">
        <v>1</v>
      </c>
      <c r="AD222" s="18">
        <v>2</v>
      </c>
      <c r="AN222" s="3">
        <v>5</v>
      </c>
      <c r="AO222" s="3">
        <v>4</v>
      </c>
      <c r="AP222" s="3">
        <v>3</v>
      </c>
      <c r="AR222" s="2" t="s">
        <v>693</v>
      </c>
    </row>
    <row r="223" spans="1:44" ht="12.75" customHeight="1">
      <c r="A223" s="4">
        <f>DATE(57,5,6)</f>
        <v>20946</v>
      </c>
      <c r="B223" s="2" t="s">
        <v>152</v>
      </c>
      <c r="C223" s="2" t="s">
        <v>153</v>
      </c>
      <c r="E223" s="18">
        <v>0</v>
      </c>
      <c r="F223" s="18">
        <v>0</v>
      </c>
      <c r="G223" s="18">
        <v>0</v>
      </c>
      <c r="H223" s="18">
        <v>2</v>
      </c>
      <c r="I223" s="18">
        <v>0</v>
      </c>
      <c r="J223" s="18">
        <v>1</v>
      </c>
      <c r="K223" s="18">
        <v>0</v>
      </c>
      <c r="T223" s="3">
        <v>3</v>
      </c>
      <c r="U223" s="3">
        <v>11</v>
      </c>
      <c r="V223" s="3">
        <v>4</v>
      </c>
      <c r="X223" s="2" t="s">
        <v>694</v>
      </c>
      <c r="Y223" s="18">
        <v>0</v>
      </c>
      <c r="Z223" s="18">
        <v>3</v>
      </c>
      <c r="AA223" s="18">
        <v>1</v>
      </c>
      <c r="AB223" s="18">
        <v>1</v>
      </c>
      <c r="AC223" s="18">
        <v>4</v>
      </c>
      <c r="AD223" s="18">
        <v>3</v>
      </c>
      <c r="AE223" s="18" t="s">
        <v>162</v>
      </c>
      <c r="AN223" s="3">
        <v>12</v>
      </c>
      <c r="AO223" s="3">
        <v>13</v>
      </c>
      <c r="AP223" s="3">
        <v>2</v>
      </c>
      <c r="AR223" s="2" t="s">
        <v>229</v>
      </c>
    </row>
    <row r="224" spans="1:44" ht="12.75" customHeight="1">
      <c r="A224" s="4">
        <f>DATE(57,5,7)</f>
        <v>20947</v>
      </c>
      <c r="C224" s="2" t="s">
        <v>168</v>
      </c>
      <c r="E224" s="18">
        <v>0</v>
      </c>
      <c r="F224" s="18">
        <v>0</v>
      </c>
      <c r="G224" s="18">
        <v>2</v>
      </c>
      <c r="H224" s="18">
        <v>2</v>
      </c>
      <c r="I224" s="18">
        <v>0</v>
      </c>
      <c r="J224" s="18">
        <v>0</v>
      </c>
      <c r="K224" s="18" t="s">
        <v>162</v>
      </c>
      <c r="T224" s="3">
        <v>4</v>
      </c>
      <c r="U224" s="3">
        <v>6</v>
      </c>
      <c r="V224" s="3">
        <v>0</v>
      </c>
      <c r="X224" s="2" t="s">
        <v>672</v>
      </c>
      <c r="Y224" s="18">
        <v>1</v>
      </c>
      <c r="Z224" s="18">
        <v>0</v>
      </c>
      <c r="AA224" s="18">
        <v>1</v>
      </c>
      <c r="AB224" s="18">
        <v>0</v>
      </c>
      <c r="AC224" s="18">
        <v>0</v>
      </c>
      <c r="AD224" s="18">
        <v>0</v>
      </c>
      <c r="AE224" s="18">
        <v>0</v>
      </c>
      <c r="AN224" s="3">
        <v>2</v>
      </c>
      <c r="AO224" s="3">
        <v>6</v>
      </c>
      <c r="AP224" s="3">
        <v>1</v>
      </c>
      <c r="AR224" s="2" t="s">
        <v>227</v>
      </c>
    </row>
    <row r="225" spans="1:44" ht="12.75" customHeight="1">
      <c r="A225" s="4">
        <f>DATE(57,5,8)</f>
        <v>20948</v>
      </c>
      <c r="B225" s="2" t="s">
        <v>152</v>
      </c>
      <c r="C225" s="2" t="s">
        <v>367</v>
      </c>
      <c r="E225" s="18">
        <v>0</v>
      </c>
      <c r="F225" s="18">
        <v>0</v>
      </c>
      <c r="G225" s="18">
        <v>0</v>
      </c>
      <c r="H225" s="18">
        <v>1</v>
      </c>
      <c r="I225" s="18">
        <v>0</v>
      </c>
      <c r="J225" s="18">
        <v>0</v>
      </c>
      <c r="K225" s="18">
        <v>0</v>
      </c>
      <c r="T225" s="3">
        <v>1</v>
      </c>
      <c r="U225" s="3">
        <v>6</v>
      </c>
      <c r="V225" s="3">
        <v>4</v>
      </c>
      <c r="X225" s="2" t="s">
        <v>682</v>
      </c>
      <c r="Y225" s="18">
        <v>0</v>
      </c>
      <c r="Z225" s="18">
        <v>1</v>
      </c>
      <c r="AA225" s="18">
        <v>0</v>
      </c>
      <c r="AB225" s="18">
        <v>0</v>
      </c>
      <c r="AC225" s="18">
        <v>3</v>
      </c>
      <c r="AD225" s="18">
        <v>0</v>
      </c>
      <c r="AE225" s="18" t="s">
        <v>162</v>
      </c>
      <c r="AN225" s="3">
        <v>4</v>
      </c>
      <c r="AO225" s="3">
        <v>5</v>
      </c>
      <c r="AP225" s="3">
        <v>0</v>
      </c>
      <c r="AR225" s="2" t="s">
        <v>230</v>
      </c>
    </row>
    <row r="226" spans="1:44" ht="12.75" customHeight="1">
      <c r="A226" s="4">
        <f>DATE(57,5,10)</f>
        <v>20950</v>
      </c>
      <c r="C226" s="2" t="s">
        <v>370</v>
      </c>
      <c r="E226" s="18">
        <v>0</v>
      </c>
      <c r="F226" s="18">
        <v>2</v>
      </c>
      <c r="G226" s="18">
        <v>0</v>
      </c>
      <c r="H226" s="18">
        <v>3</v>
      </c>
      <c r="I226" s="18">
        <v>0</v>
      </c>
      <c r="J226" s="18">
        <v>2</v>
      </c>
      <c r="K226" s="18" t="s">
        <v>162</v>
      </c>
      <c r="T226" s="3">
        <v>7</v>
      </c>
      <c r="U226" s="3">
        <v>6</v>
      </c>
      <c r="V226" s="3">
        <v>1</v>
      </c>
      <c r="X226" s="2" t="s">
        <v>674</v>
      </c>
      <c r="Y226" s="18">
        <v>0</v>
      </c>
      <c r="Z226" s="18">
        <v>0</v>
      </c>
      <c r="AA226" s="18">
        <v>0</v>
      </c>
      <c r="AB226" s="18">
        <v>0</v>
      </c>
      <c r="AC226" s="18">
        <v>3</v>
      </c>
      <c r="AD226" s="18">
        <v>0</v>
      </c>
      <c r="AE226" s="18">
        <v>0</v>
      </c>
      <c r="AN226" s="3">
        <v>3</v>
      </c>
      <c r="AO226" s="3">
        <v>5</v>
      </c>
      <c r="AP226" s="3">
        <v>6</v>
      </c>
      <c r="AR226" s="2" t="s">
        <v>695</v>
      </c>
    </row>
    <row r="227" spans="1:44" ht="12.75" customHeight="1">
      <c r="A227" s="4">
        <f>DATE(57,5,13)</f>
        <v>20953</v>
      </c>
      <c r="C227" s="2" t="s">
        <v>231</v>
      </c>
      <c r="E227" s="18">
        <v>0</v>
      </c>
      <c r="F227" s="18">
        <v>0</v>
      </c>
      <c r="G227" s="18">
        <v>1</v>
      </c>
      <c r="H227" s="18">
        <v>2</v>
      </c>
      <c r="I227" s="18">
        <v>5</v>
      </c>
      <c r="J227" s="18">
        <v>2</v>
      </c>
      <c r="K227" s="18" t="s">
        <v>162</v>
      </c>
      <c r="T227" s="3">
        <v>10</v>
      </c>
      <c r="U227" s="3">
        <v>7</v>
      </c>
      <c r="V227" s="3">
        <v>2</v>
      </c>
      <c r="X227" s="2" t="s">
        <v>672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N227" s="3">
        <v>0</v>
      </c>
      <c r="AO227" s="3">
        <v>3</v>
      </c>
      <c r="AP227" s="3">
        <v>3</v>
      </c>
      <c r="AR227" s="2" t="s">
        <v>232</v>
      </c>
    </row>
    <row r="228" spans="1:44" ht="12.75" customHeight="1">
      <c r="A228" s="4">
        <f>DATE(57,5,17)</f>
        <v>20957</v>
      </c>
      <c r="B228" s="2" t="s">
        <v>152</v>
      </c>
      <c r="C228" s="2" t="s">
        <v>169</v>
      </c>
      <c r="E228" s="18">
        <v>3</v>
      </c>
      <c r="F228" s="18">
        <v>0</v>
      </c>
      <c r="G228" s="18">
        <v>0</v>
      </c>
      <c r="H228" s="18">
        <v>0</v>
      </c>
      <c r="I228" s="18">
        <v>1</v>
      </c>
      <c r="J228" s="18">
        <v>0</v>
      </c>
      <c r="K228" s="18">
        <v>0</v>
      </c>
      <c r="T228" s="3">
        <v>4</v>
      </c>
      <c r="U228" s="3">
        <v>7</v>
      </c>
      <c r="V228" s="3">
        <v>4</v>
      </c>
      <c r="X228" s="2" t="s">
        <v>674</v>
      </c>
      <c r="Y228" s="18">
        <v>1</v>
      </c>
      <c r="Z228" s="18">
        <v>0</v>
      </c>
      <c r="AA228" s="18">
        <v>2</v>
      </c>
      <c r="AB228" s="18">
        <v>0</v>
      </c>
      <c r="AC228" s="18">
        <v>0</v>
      </c>
      <c r="AD228" s="18">
        <v>0</v>
      </c>
      <c r="AE228" s="18">
        <v>2</v>
      </c>
      <c r="AN228" s="3">
        <v>5</v>
      </c>
      <c r="AO228" s="3">
        <v>7</v>
      </c>
      <c r="AP228" s="3">
        <v>4</v>
      </c>
      <c r="AR228" s="2" t="s">
        <v>18</v>
      </c>
    </row>
    <row r="229" spans="1:44" ht="12.75" customHeight="1">
      <c r="A229" s="4">
        <f>DATE(57,5,23)</f>
        <v>20963</v>
      </c>
      <c r="B229" s="2" t="s">
        <v>152</v>
      </c>
      <c r="C229" s="2" t="s">
        <v>231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T229" s="3">
        <v>0</v>
      </c>
      <c r="U229" s="3">
        <v>2</v>
      </c>
      <c r="V229" s="3">
        <v>2</v>
      </c>
      <c r="X229" s="2" t="s">
        <v>696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3</v>
      </c>
      <c r="AE229" s="18" t="s">
        <v>162</v>
      </c>
      <c r="AN229" s="3">
        <v>3</v>
      </c>
      <c r="AO229" s="3">
        <v>3</v>
      </c>
      <c r="AP229" s="3">
        <v>0</v>
      </c>
      <c r="AR229" s="2" t="s">
        <v>697</v>
      </c>
    </row>
    <row r="230" ht="12.75" customHeight="1">
      <c r="A230" s="4"/>
    </row>
    <row r="231" spans="1:44" ht="12.75" customHeight="1">
      <c r="A231" s="4">
        <f>DATE(58,4,15)</f>
        <v>21290</v>
      </c>
      <c r="C231" s="2" t="s">
        <v>174</v>
      </c>
      <c r="E231" s="18">
        <v>0</v>
      </c>
      <c r="F231" s="18">
        <v>1</v>
      </c>
      <c r="G231" s="18">
        <v>0</v>
      </c>
      <c r="H231" s="18">
        <v>0</v>
      </c>
      <c r="I231" s="18">
        <v>5</v>
      </c>
      <c r="J231" s="18">
        <v>0</v>
      </c>
      <c r="K231" s="18">
        <v>1</v>
      </c>
      <c r="T231" s="3">
        <v>7</v>
      </c>
      <c r="U231" s="3">
        <v>10</v>
      </c>
      <c r="V231" s="3">
        <v>5</v>
      </c>
      <c r="X231" s="2" t="s">
        <v>698</v>
      </c>
      <c r="Y231" s="18">
        <v>0</v>
      </c>
      <c r="Z231" s="18">
        <v>0</v>
      </c>
      <c r="AA231" s="18">
        <v>2</v>
      </c>
      <c r="AB231" s="18">
        <v>10</v>
      </c>
      <c r="AC231" s="18">
        <v>0</v>
      </c>
      <c r="AD231" s="18">
        <v>0</v>
      </c>
      <c r="AE231" s="18">
        <v>1</v>
      </c>
      <c r="AN231" s="3">
        <v>13</v>
      </c>
      <c r="AO231" s="3">
        <v>11</v>
      </c>
      <c r="AP231" s="3">
        <v>1</v>
      </c>
      <c r="AR231" s="2" t="s">
        <v>699</v>
      </c>
    </row>
    <row r="232" spans="1:46" ht="12.75" customHeight="1">
      <c r="A232" s="4">
        <f>DATE(58,4,23)</f>
        <v>21298</v>
      </c>
      <c r="B232" s="2" t="s">
        <v>152</v>
      </c>
      <c r="C232" s="2" t="s">
        <v>367</v>
      </c>
      <c r="E232" s="18">
        <v>0</v>
      </c>
      <c r="F232" s="18">
        <v>0</v>
      </c>
      <c r="G232" s="18">
        <v>0</v>
      </c>
      <c r="H232" s="18">
        <v>0</v>
      </c>
      <c r="I232" s="18">
        <v>3</v>
      </c>
      <c r="J232" s="18">
        <v>0</v>
      </c>
      <c r="K232" s="18">
        <v>1</v>
      </c>
      <c r="T232" s="3">
        <v>4</v>
      </c>
      <c r="U232" s="3">
        <v>5</v>
      </c>
      <c r="V232" s="3">
        <v>1</v>
      </c>
      <c r="X232" s="2" t="s">
        <v>700</v>
      </c>
      <c r="Y232" s="18">
        <v>0</v>
      </c>
      <c r="Z232" s="18">
        <v>0</v>
      </c>
      <c r="AA232" s="18">
        <v>0</v>
      </c>
      <c r="AB232" s="18">
        <v>3</v>
      </c>
      <c r="AC232" s="18">
        <v>0</v>
      </c>
      <c r="AD232" s="18">
        <v>0</v>
      </c>
      <c r="AE232" s="18">
        <v>0</v>
      </c>
      <c r="AN232" s="3">
        <v>3</v>
      </c>
      <c r="AO232" s="3">
        <v>4</v>
      </c>
      <c r="AP232" s="3">
        <v>3</v>
      </c>
      <c r="AR232" s="2" t="s">
        <v>701</v>
      </c>
      <c r="AS232" s="2" t="s">
        <v>190</v>
      </c>
      <c r="AT232" s="2" t="s">
        <v>181</v>
      </c>
    </row>
    <row r="233" spans="1:44" ht="12.75" customHeight="1">
      <c r="A233" s="4">
        <f>DATE(58,4,25)</f>
        <v>21300</v>
      </c>
      <c r="C233" s="2" t="s">
        <v>169</v>
      </c>
      <c r="E233" s="18">
        <v>2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T233" s="3">
        <v>2</v>
      </c>
      <c r="U233" s="3">
        <v>2</v>
      </c>
      <c r="V233" s="3">
        <v>2</v>
      </c>
      <c r="X233" s="2" t="s">
        <v>702</v>
      </c>
      <c r="Y233" s="18">
        <v>0</v>
      </c>
      <c r="Z233" s="18">
        <v>1</v>
      </c>
      <c r="AA233" s="18">
        <v>0</v>
      </c>
      <c r="AB233" s="18">
        <v>3</v>
      </c>
      <c r="AC233" s="18">
        <v>0</v>
      </c>
      <c r="AD233" s="18">
        <v>1</v>
      </c>
      <c r="AE233" s="18">
        <v>3</v>
      </c>
      <c r="AN233" s="3">
        <v>8</v>
      </c>
      <c r="AO233" s="3">
        <v>8</v>
      </c>
      <c r="AP233" s="3">
        <v>1</v>
      </c>
      <c r="AR233" s="2" t="s">
        <v>703</v>
      </c>
    </row>
    <row r="234" spans="1:44" ht="12.75" customHeight="1">
      <c r="A234" s="4">
        <f>DATE(58,5,1)</f>
        <v>21306</v>
      </c>
      <c r="B234" s="2" t="s">
        <v>152</v>
      </c>
      <c r="C234" s="2" t="s">
        <v>153</v>
      </c>
      <c r="E234" s="18">
        <v>1</v>
      </c>
      <c r="F234" s="18">
        <v>2</v>
      </c>
      <c r="G234" s="18">
        <v>1</v>
      </c>
      <c r="H234" s="18">
        <v>0</v>
      </c>
      <c r="I234" s="18">
        <v>0</v>
      </c>
      <c r="J234" s="18">
        <v>0</v>
      </c>
      <c r="K234" s="18">
        <v>0</v>
      </c>
      <c r="T234" s="3">
        <v>4</v>
      </c>
      <c r="U234" s="3">
        <v>4</v>
      </c>
      <c r="V234" s="3">
        <v>2</v>
      </c>
      <c r="X234" s="2" t="s">
        <v>704</v>
      </c>
      <c r="Y234" s="18">
        <v>1</v>
      </c>
      <c r="Z234" s="18">
        <v>2</v>
      </c>
      <c r="AA234" s="18">
        <v>1</v>
      </c>
      <c r="AB234" s="18">
        <v>1</v>
      </c>
      <c r="AC234" s="18">
        <v>0</v>
      </c>
      <c r="AD234" s="18">
        <v>1</v>
      </c>
      <c r="AE234" s="18" t="s">
        <v>162</v>
      </c>
      <c r="AN234" s="3">
        <v>6</v>
      </c>
      <c r="AO234" s="3">
        <v>11</v>
      </c>
      <c r="AP234" s="3">
        <v>2</v>
      </c>
      <c r="AR234" s="2" t="s">
        <v>705</v>
      </c>
    </row>
    <row r="235" spans="1:44" ht="12.75" customHeight="1">
      <c r="A235" s="4">
        <f>DATE(58,5,2)</f>
        <v>21307</v>
      </c>
      <c r="B235" s="2" t="s">
        <v>152</v>
      </c>
      <c r="C235" s="2" t="s">
        <v>175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T235" s="3">
        <v>0</v>
      </c>
      <c r="U235" s="3">
        <v>3</v>
      </c>
      <c r="V235" s="3">
        <v>2</v>
      </c>
      <c r="X235" s="2" t="s">
        <v>706</v>
      </c>
      <c r="Y235" s="18">
        <v>0</v>
      </c>
      <c r="Z235" s="18">
        <v>1</v>
      </c>
      <c r="AA235" s="18">
        <v>0</v>
      </c>
      <c r="AB235" s="18">
        <v>0</v>
      </c>
      <c r="AC235" s="18">
        <v>0</v>
      </c>
      <c r="AD235" s="18">
        <v>0</v>
      </c>
      <c r="AE235" s="18" t="s">
        <v>162</v>
      </c>
      <c r="AN235" s="3">
        <v>1</v>
      </c>
      <c r="AO235" s="3">
        <v>3</v>
      </c>
      <c r="AP235" s="3">
        <v>1</v>
      </c>
      <c r="AR235" s="2" t="s">
        <v>707</v>
      </c>
    </row>
    <row r="236" spans="1:44" ht="12.75" customHeight="1">
      <c r="A236" s="4">
        <f>DATE(58,5,9)</f>
        <v>21314</v>
      </c>
      <c r="B236" s="2" t="s">
        <v>152</v>
      </c>
      <c r="C236" s="2" t="s">
        <v>370</v>
      </c>
      <c r="E236" s="18">
        <v>3</v>
      </c>
      <c r="F236" s="18">
        <v>6</v>
      </c>
      <c r="G236" s="18">
        <v>1</v>
      </c>
      <c r="H236" s="18">
        <v>1</v>
      </c>
      <c r="I236" s="18">
        <v>0</v>
      </c>
      <c r="J236" s="18">
        <v>5</v>
      </c>
      <c r="K236" s="18">
        <v>0</v>
      </c>
      <c r="T236" s="3">
        <v>16</v>
      </c>
      <c r="U236" s="3">
        <v>13</v>
      </c>
      <c r="V236" s="3">
        <v>3</v>
      </c>
      <c r="X236" s="2" t="s">
        <v>708</v>
      </c>
      <c r="Y236" s="18">
        <v>0</v>
      </c>
      <c r="Z236" s="18">
        <v>0</v>
      </c>
      <c r="AA236" s="18">
        <v>0</v>
      </c>
      <c r="AB236" s="18">
        <v>0</v>
      </c>
      <c r="AC236" s="18">
        <v>3</v>
      </c>
      <c r="AD236" s="18">
        <v>3</v>
      </c>
      <c r="AE236" s="18">
        <v>0</v>
      </c>
      <c r="AN236" s="3">
        <v>6</v>
      </c>
      <c r="AO236" s="3">
        <v>9</v>
      </c>
      <c r="AP236" s="3">
        <v>3</v>
      </c>
      <c r="AR236" s="2" t="s">
        <v>233</v>
      </c>
    </row>
    <row r="237" spans="1:44" ht="12.75" customHeight="1">
      <c r="A237" s="4">
        <f>DATE(58,5,12)</f>
        <v>21317</v>
      </c>
      <c r="C237" s="2" t="s">
        <v>168</v>
      </c>
      <c r="E237" s="18">
        <v>0</v>
      </c>
      <c r="F237" s="18">
        <v>1</v>
      </c>
      <c r="G237" s="18">
        <v>0</v>
      </c>
      <c r="H237" s="18">
        <v>0</v>
      </c>
      <c r="I237" s="18">
        <v>1</v>
      </c>
      <c r="J237" s="18">
        <v>0</v>
      </c>
      <c r="K237" s="18">
        <v>4</v>
      </c>
      <c r="T237" s="3">
        <v>6</v>
      </c>
      <c r="U237" s="3">
        <v>6</v>
      </c>
      <c r="V237" s="3">
        <v>1</v>
      </c>
      <c r="X237" s="2" t="s">
        <v>704</v>
      </c>
      <c r="Y237" s="18">
        <v>0</v>
      </c>
      <c r="Z237" s="18">
        <v>0</v>
      </c>
      <c r="AA237" s="18">
        <v>2</v>
      </c>
      <c r="AB237" s="18">
        <v>0</v>
      </c>
      <c r="AC237" s="18">
        <v>0</v>
      </c>
      <c r="AD237" s="18">
        <v>2</v>
      </c>
      <c r="AE237" s="18">
        <v>7</v>
      </c>
      <c r="AN237" s="3">
        <v>11</v>
      </c>
      <c r="AO237" s="3">
        <v>13</v>
      </c>
      <c r="AP237" s="3">
        <v>2</v>
      </c>
      <c r="AR237" s="2" t="s">
        <v>234</v>
      </c>
    </row>
    <row r="238" spans="1:44" ht="12.75" customHeight="1">
      <c r="A238" s="4">
        <f>DATE(58,5,16)</f>
        <v>21321</v>
      </c>
      <c r="B238" s="2" t="s">
        <v>152</v>
      </c>
      <c r="C238" s="2" t="s">
        <v>169</v>
      </c>
      <c r="E238" s="18">
        <v>0</v>
      </c>
      <c r="F238" s="18">
        <v>0</v>
      </c>
      <c r="G238" s="18">
        <v>3</v>
      </c>
      <c r="H238" s="18">
        <v>0</v>
      </c>
      <c r="I238" s="18">
        <v>1</v>
      </c>
      <c r="J238" s="18">
        <v>0</v>
      </c>
      <c r="K238" s="18">
        <v>0</v>
      </c>
      <c r="T238" s="3">
        <v>4</v>
      </c>
      <c r="U238" s="3">
        <v>7</v>
      </c>
      <c r="V238" s="3">
        <v>1</v>
      </c>
      <c r="X238" s="2" t="s">
        <v>700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N238" s="3">
        <v>0</v>
      </c>
      <c r="AO238" s="3">
        <v>3</v>
      </c>
      <c r="AP238" s="3">
        <v>0</v>
      </c>
      <c r="AR238" s="2" t="s">
        <v>2408</v>
      </c>
    </row>
    <row r="239" spans="1:44" ht="12.75" customHeight="1">
      <c r="A239" s="4">
        <f>DATE(58,5,19)</f>
        <v>21324</v>
      </c>
      <c r="C239" s="2" t="s">
        <v>153</v>
      </c>
      <c r="E239" s="18">
        <v>0</v>
      </c>
      <c r="F239" s="18">
        <v>0</v>
      </c>
      <c r="G239" s="18">
        <v>0</v>
      </c>
      <c r="H239" s="18">
        <v>2</v>
      </c>
      <c r="I239" s="18">
        <v>0</v>
      </c>
      <c r="J239" s="18">
        <v>0</v>
      </c>
      <c r="K239" s="18">
        <v>0</v>
      </c>
      <c r="T239" s="3">
        <v>2</v>
      </c>
      <c r="U239" s="3">
        <v>5</v>
      </c>
      <c r="V239" s="3">
        <v>4</v>
      </c>
      <c r="X239" s="2" t="s">
        <v>674</v>
      </c>
      <c r="Y239" s="18">
        <v>3</v>
      </c>
      <c r="Z239" s="18">
        <v>0</v>
      </c>
      <c r="AA239" s="18">
        <v>0</v>
      </c>
      <c r="AB239" s="18">
        <v>0</v>
      </c>
      <c r="AC239" s="18">
        <v>1</v>
      </c>
      <c r="AD239" s="18">
        <v>0</v>
      </c>
      <c r="AE239" s="18">
        <v>0</v>
      </c>
      <c r="AN239" s="3">
        <v>4</v>
      </c>
      <c r="AO239" s="3">
        <v>6</v>
      </c>
      <c r="AP239" s="3">
        <v>1</v>
      </c>
      <c r="AR239" s="2" t="s">
        <v>709</v>
      </c>
    </row>
    <row r="240" spans="1:44" ht="12.75" customHeight="1">
      <c r="A240" s="4">
        <f>DATE(58,5,20)</f>
        <v>21325</v>
      </c>
      <c r="C240" s="2" t="s">
        <v>370</v>
      </c>
      <c r="E240" s="18">
        <v>6</v>
      </c>
      <c r="F240" s="18">
        <v>1</v>
      </c>
      <c r="G240" s="18">
        <v>1</v>
      </c>
      <c r="H240" s="18">
        <v>5</v>
      </c>
      <c r="I240" s="18">
        <v>0</v>
      </c>
      <c r="J240" s="18">
        <v>0</v>
      </c>
      <c r="K240" s="18" t="s">
        <v>162</v>
      </c>
      <c r="T240" s="3">
        <v>13</v>
      </c>
      <c r="U240" s="3">
        <v>16</v>
      </c>
      <c r="V240" s="3">
        <v>3</v>
      </c>
      <c r="X240" s="2" t="s">
        <v>710</v>
      </c>
      <c r="Y240" s="18">
        <v>0</v>
      </c>
      <c r="Z240" s="18">
        <v>0</v>
      </c>
      <c r="AA240" s="18">
        <v>0</v>
      </c>
      <c r="AB240" s="18">
        <v>0</v>
      </c>
      <c r="AC240" s="18">
        <v>3</v>
      </c>
      <c r="AD240" s="18">
        <v>0</v>
      </c>
      <c r="AE240" s="18">
        <v>0</v>
      </c>
      <c r="AN240" s="3">
        <v>3</v>
      </c>
      <c r="AO240" s="3">
        <v>4</v>
      </c>
      <c r="AP240" s="3">
        <v>1</v>
      </c>
      <c r="AR240" s="2" t="s">
        <v>2387</v>
      </c>
    </row>
    <row r="241" ht="12.75" customHeight="1">
      <c r="A241" s="4"/>
    </row>
    <row r="242" spans="1:44" ht="12.75" customHeight="1">
      <c r="A242" s="4">
        <f>DATE(59,4,14)</f>
        <v>21654</v>
      </c>
      <c r="B242" s="2" t="s">
        <v>152</v>
      </c>
      <c r="C242" s="2" t="s">
        <v>174</v>
      </c>
      <c r="E242" s="18">
        <v>0</v>
      </c>
      <c r="F242" s="18">
        <v>1</v>
      </c>
      <c r="G242" s="18">
        <v>1</v>
      </c>
      <c r="H242" s="18">
        <v>0</v>
      </c>
      <c r="I242" s="18">
        <v>0</v>
      </c>
      <c r="J242" s="18">
        <v>0</v>
      </c>
      <c r="K242" s="18">
        <v>0</v>
      </c>
      <c r="T242" s="3">
        <v>2</v>
      </c>
      <c r="U242" s="3">
        <v>5</v>
      </c>
      <c r="V242" s="3">
        <v>6</v>
      </c>
      <c r="X242" s="2" t="s">
        <v>711</v>
      </c>
      <c r="Y242" s="18">
        <v>4</v>
      </c>
      <c r="Z242" s="18">
        <v>0</v>
      </c>
      <c r="AA242" s="18">
        <v>2</v>
      </c>
      <c r="AB242" s="18">
        <v>3</v>
      </c>
      <c r="AC242" s="18">
        <v>0</v>
      </c>
      <c r="AD242" s="18">
        <v>0</v>
      </c>
      <c r="AE242" s="18" t="s">
        <v>162</v>
      </c>
      <c r="AN242" s="3">
        <v>9</v>
      </c>
      <c r="AO242" s="3">
        <v>8</v>
      </c>
      <c r="AP242" s="3">
        <v>1</v>
      </c>
      <c r="AR242" s="2" t="s">
        <v>712</v>
      </c>
    </row>
    <row r="243" spans="1:46" ht="12.75" customHeight="1">
      <c r="A243" s="4">
        <f>DATE(59,4,17)</f>
        <v>21657</v>
      </c>
      <c r="C243" s="2" t="s">
        <v>174</v>
      </c>
      <c r="E243" s="18">
        <v>2</v>
      </c>
      <c r="F243" s="18">
        <v>0</v>
      </c>
      <c r="G243" s="18">
        <v>1</v>
      </c>
      <c r="H243" s="18">
        <v>0</v>
      </c>
      <c r="I243" s="18">
        <v>0</v>
      </c>
      <c r="J243" s="18">
        <v>0</v>
      </c>
      <c r="K243" s="18" t="s">
        <v>162</v>
      </c>
      <c r="T243" s="3">
        <v>3</v>
      </c>
      <c r="U243" s="3">
        <v>3</v>
      </c>
      <c r="V243" s="3">
        <v>2</v>
      </c>
      <c r="X243" s="2" t="s">
        <v>713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N243" s="3">
        <v>0</v>
      </c>
      <c r="AO243" s="3">
        <v>5</v>
      </c>
      <c r="AP243" s="3">
        <v>4</v>
      </c>
      <c r="AR243" s="2" t="s">
        <v>714</v>
      </c>
      <c r="AS243" s="2" t="s">
        <v>200</v>
      </c>
      <c r="AT243" s="2" t="s">
        <v>235</v>
      </c>
    </row>
    <row r="244" spans="1:45" ht="12.75" customHeight="1">
      <c r="A244" s="4">
        <f>DATE(59,4,21)</f>
        <v>21661</v>
      </c>
      <c r="B244" s="2" t="s">
        <v>152</v>
      </c>
      <c r="C244" s="2" t="s">
        <v>168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T244" s="3">
        <v>0</v>
      </c>
      <c r="U244" s="3">
        <v>3</v>
      </c>
      <c r="V244" s="3">
        <v>0</v>
      </c>
      <c r="X244" s="2" t="s">
        <v>706</v>
      </c>
      <c r="Y244" s="18">
        <v>1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 t="s">
        <v>162</v>
      </c>
      <c r="AN244" s="3">
        <v>1</v>
      </c>
      <c r="AO244" s="3">
        <v>3</v>
      </c>
      <c r="AP244" s="3">
        <v>0</v>
      </c>
      <c r="AR244" s="2" t="s">
        <v>715</v>
      </c>
      <c r="AS244" s="2" t="s">
        <v>716</v>
      </c>
    </row>
    <row r="245" spans="1:44" ht="12.75" customHeight="1">
      <c r="A245" s="4">
        <f>DATE(59,4,22)</f>
        <v>21662</v>
      </c>
      <c r="B245" s="2" t="s">
        <v>152</v>
      </c>
      <c r="C245" s="2" t="s">
        <v>367</v>
      </c>
      <c r="E245" s="18">
        <v>1</v>
      </c>
      <c r="F245" s="18">
        <v>0</v>
      </c>
      <c r="G245" s="18">
        <v>0</v>
      </c>
      <c r="H245" s="18">
        <v>1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T245" s="3">
        <v>2</v>
      </c>
      <c r="U245" s="3">
        <v>1</v>
      </c>
      <c r="V245" s="3">
        <v>2</v>
      </c>
      <c r="X245" s="2" t="s">
        <v>717</v>
      </c>
      <c r="Y245" s="18">
        <v>2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1</v>
      </c>
      <c r="AF245" s="18">
        <v>1</v>
      </c>
      <c r="AG245" s="18" t="s">
        <v>162</v>
      </c>
      <c r="AN245" s="3">
        <v>4</v>
      </c>
      <c r="AO245" s="3">
        <v>9</v>
      </c>
      <c r="AP245" s="3">
        <v>1</v>
      </c>
      <c r="AR245" s="2" t="s">
        <v>718</v>
      </c>
    </row>
    <row r="246" spans="1:44" ht="12.75" customHeight="1">
      <c r="A246" s="4">
        <f>DATE(59,5,1)</f>
        <v>21671</v>
      </c>
      <c r="C246" s="2" t="s">
        <v>153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1</v>
      </c>
      <c r="T246" s="3">
        <v>1</v>
      </c>
      <c r="U246" s="3">
        <v>5</v>
      </c>
      <c r="V246" s="3">
        <v>4</v>
      </c>
      <c r="X246" s="2" t="s">
        <v>719</v>
      </c>
      <c r="Y246" s="18">
        <v>4</v>
      </c>
      <c r="Z246" s="18">
        <v>2</v>
      </c>
      <c r="AA246" s="18">
        <v>1</v>
      </c>
      <c r="AB246" s="18">
        <v>1</v>
      </c>
      <c r="AC246" s="18">
        <v>0</v>
      </c>
      <c r="AD246" s="18">
        <v>6</v>
      </c>
      <c r="AE246" s="18">
        <v>0</v>
      </c>
      <c r="AN246" s="3">
        <v>14</v>
      </c>
      <c r="AO246" s="3">
        <v>14</v>
      </c>
      <c r="AP246" s="3">
        <v>2</v>
      </c>
      <c r="AR246" s="2" t="s">
        <v>709</v>
      </c>
    </row>
    <row r="247" spans="1:44" ht="12.75" customHeight="1">
      <c r="A247" s="4">
        <f>DATE(59,5,4)</f>
        <v>21674</v>
      </c>
      <c r="B247" s="2" t="s">
        <v>152</v>
      </c>
      <c r="C247" s="2" t="s">
        <v>153</v>
      </c>
      <c r="E247" s="18">
        <v>0</v>
      </c>
      <c r="F247" s="18">
        <v>0</v>
      </c>
      <c r="G247" s="18">
        <v>1</v>
      </c>
      <c r="H247" s="18">
        <v>0</v>
      </c>
      <c r="I247" s="18">
        <v>0</v>
      </c>
      <c r="J247" s="18">
        <v>0</v>
      </c>
      <c r="K247" s="18">
        <v>0</v>
      </c>
      <c r="T247" s="3">
        <v>1</v>
      </c>
      <c r="U247" s="3">
        <v>4</v>
      </c>
      <c r="V247" s="3">
        <v>4</v>
      </c>
      <c r="X247" s="2" t="s">
        <v>720</v>
      </c>
      <c r="Y247" s="18">
        <v>2</v>
      </c>
      <c r="Z247" s="18">
        <v>2</v>
      </c>
      <c r="AA247" s="18">
        <v>0</v>
      </c>
      <c r="AB247" s="18">
        <v>2</v>
      </c>
      <c r="AC247" s="18">
        <v>0</v>
      </c>
      <c r="AD247" s="18">
        <v>0</v>
      </c>
      <c r="AE247" s="18" t="s">
        <v>162</v>
      </c>
      <c r="AN247" s="3">
        <v>6</v>
      </c>
      <c r="AO247" s="3">
        <v>5</v>
      </c>
      <c r="AP247" s="3">
        <v>4</v>
      </c>
      <c r="AR247" s="2" t="s">
        <v>721</v>
      </c>
    </row>
    <row r="248" spans="1:44" ht="12.75" customHeight="1">
      <c r="A248" s="4">
        <f>DATE(59,5,5)</f>
        <v>21675</v>
      </c>
      <c r="C248" s="2" t="s">
        <v>168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T248" s="3">
        <v>0</v>
      </c>
      <c r="U248" s="3">
        <v>4</v>
      </c>
      <c r="V248" s="3">
        <v>3</v>
      </c>
      <c r="X248" s="2" t="s">
        <v>700</v>
      </c>
      <c r="Y248" s="18">
        <v>5</v>
      </c>
      <c r="Z248" s="18">
        <v>0</v>
      </c>
      <c r="AA248" s="18">
        <v>0</v>
      </c>
      <c r="AB248" s="18">
        <v>2</v>
      </c>
      <c r="AC248" s="18">
        <v>0</v>
      </c>
      <c r="AD248" s="18">
        <v>1</v>
      </c>
      <c r="AE248" s="18" t="s">
        <v>162</v>
      </c>
      <c r="AN248" s="3">
        <v>8</v>
      </c>
      <c r="AO248" s="3">
        <v>11</v>
      </c>
      <c r="AP248" s="3">
        <v>0</v>
      </c>
      <c r="AR248" s="2" t="s">
        <v>715</v>
      </c>
    </row>
    <row r="249" spans="1:44" ht="12.75" customHeight="1">
      <c r="A249" s="4">
        <f>DATE(59,5,8)</f>
        <v>21678</v>
      </c>
      <c r="C249" s="2" t="s">
        <v>370</v>
      </c>
      <c r="E249" s="18">
        <v>0</v>
      </c>
      <c r="F249" s="18">
        <v>1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T249" s="3">
        <v>1</v>
      </c>
      <c r="U249" s="3">
        <v>4</v>
      </c>
      <c r="V249" s="3">
        <v>4</v>
      </c>
      <c r="X249" s="2" t="s">
        <v>722</v>
      </c>
      <c r="Y249" s="18">
        <v>3</v>
      </c>
      <c r="Z249" s="18">
        <v>2</v>
      </c>
      <c r="AA249" s="18">
        <v>0</v>
      </c>
      <c r="AB249" s="18">
        <v>1</v>
      </c>
      <c r="AC249" s="18">
        <v>0</v>
      </c>
      <c r="AD249" s="18">
        <v>5</v>
      </c>
      <c r="AE249" s="18">
        <v>1</v>
      </c>
      <c r="AN249" s="3">
        <v>12</v>
      </c>
      <c r="AO249" s="3">
        <v>14</v>
      </c>
      <c r="AP249" s="3">
        <v>2</v>
      </c>
      <c r="AR249" s="2" t="s">
        <v>723</v>
      </c>
    </row>
    <row r="250" spans="1:44" ht="12.75" customHeight="1">
      <c r="A250" s="4">
        <f>DATE(59,5,11)</f>
        <v>21681</v>
      </c>
      <c r="C250" s="2" t="s">
        <v>231</v>
      </c>
      <c r="E250" s="18">
        <v>0</v>
      </c>
      <c r="F250" s="18">
        <v>0</v>
      </c>
      <c r="G250" s="18">
        <v>0</v>
      </c>
      <c r="H250" s="18">
        <v>4</v>
      </c>
      <c r="I250" s="18">
        <v>0</v>
      </c>
      <c r="J250" s="18">
        <v>0</v>
      </c>
      <c r="K250" s="18" t="s">
        <v>162</v>
      </c>
      <c r="T250" s="3">
        <v>4</v>
      </c>
      <c r="U250" s="3">
        <v>5</v>
      </c>
      <c r="V250" s="3">
        <v>1</v>
      </c>
      <c r="X250" s="2" t="s">
        <v>724</v>
      </c>
      <c r="Y250" s="18">
        <v>0</v>
      </c>
      <c r="Z250" s="18">
        <v>1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N250" s="3">
        <v>1</v>
      </c>
      <c r="AO250" s="3">
        <v>4</v>
      </c>
      <c r="AP250" s="3">
        <v>0</v>
      </c>
      <c r="AR250" s="2" t="s">
        <v>725</v>
      </c>
    </row>
    <row r="251" spans="1:44" ht="12.75" customHeight="1">
      <c r="A251" s="4">
        <f>DATE(59,5,18)</f>
        <v>21688</v>
      </c>
      <c r="C251" s="2" t="s">
        <v>169</v>
      </c>
      <c r="E251" s="18">
        <v>0</v>
      </c>
      <c r="F251" s="18">
        <v>0</v>
      </c>
      <c r="G251" s="18">
        <v>1</v>
      </c>
      <c r="H251" s="18">
        <v>0</v>
      </c>
      <c r="I251" s="18">
        <v>2</v>
      </c>
      <c r="J251" s="18">
        <v>0</v>
      </c>
      <c r="K251" s="18">
        <v>0</v>
      </c>
      <c r="T251" s="3">
        <v>3</v>
      </c>
      <c r="U251" s="3">
        <v>2</v>
      </c>
      <c r="V251" s="3">
        <v>2</v>
      </c>
      <c r="X251" s="2" t="s">
        <v>700</v>
      </c>
      <c r="Y251" s="18">
        <v>0</v>
      </c>
      <c r="Z251" s="18">
        <v>1</v>
      </c>
      <c r="AA251" s="18">
        <v>0</v>
      </c>
      <c r="AB251" s="18">
        <v>0</v>
      </c>
      <c r="AC251" s="18">
        <v>1</v>
      </c>
      <c r="AD251" s="18">
        <v>2</v>
      </c>
      <c r="AE251" s="18">
        <v>0</v>
      </c>
      <c r="AN251" s="3">
        <v>4</v>
      </c>
      <c r="AO251" s="3">
        <v>5</v>
      </c>
      <c r="AP251" s="3">
        <v>2</v>
      </c>
      <c r="AR251" s="2" t="s">
        <v>726</v>
      </c>
    </row>
    <row r="252" spans="1:44" ht="12.75" customHeight="1">
      <c r="A252" s="4">
        <f>DATE(59,5,22)</f>
        <v>21692</v>
      </c>
      <c r="B252" s="2" t="s">
        <v>152</v>
      </c>
      <c r="C252" s="2" t="s">
        <v>231</v>
      </c>
      <c r="E252" s="18">
        <v>0</v>
      </c>
      <c r="F252" s="18">
        <v>1</v>
      </c>
      <c r="G252" s="18">
        <v>0</v>
      </c>
      <c r="H252" s="18">
        <v>0</v>
      </c>
      <c r="I252" s="18">
        <v>1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3">
        <v>2</v>
      </c>
      <c r="U252" s="3">
        <v>7</v>
      </c>
      <c r="V252" s="3">
        <v>1</v>
      </c>
      <c r="X252" s="2" t="s">
        <v>727</v>
      </c>
      <c r="Y252" s="18">
        <v>1</v>
      </c>
      <c r="Z252" s="18">
        <v>1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1</v>
      </c>
      <c r="AN252" s="3">
        <v>3</v>
      </c>
      <c r="AO252" s="3">
        <v>11</v>
      </c>
      <c r="AP252" s="3">
        <v>0</v>
      </c>
      <c r="AR252" s="2" t="s">
        <v>728</v>
      </c>
    </row>
    <row r="253" ht="12.75" customHeight="1">
      <c r="A253" s="4"/>
    </row>
    <row r="254" spans="1:45" ht="12.75" customHeight="1">
      <c r="A254" s="4">
        <f>DATE(60,4,12)</f>
        <v>22018</v>
      </c>
      <c r="C254" s="2" t="s">
        <v>231</v>
      </c>
      <c r="E254" s="18">
        <v>1</v>
      </c>
      <c r="F254" s="18">
        <v>0</v>
      </c>
      <c r="G254" s="18">
        <v>1</v>
      </c>
      <c r="H254" s="18">
        <v>4</v>
      </c>
      <c r="I254" s="18">
        <v>0</v>
      </c>
      <c r="J254" s="18">
        <v>2</v>
      </c>
      <c r="K254" s="18" t="s">
        <v>162</v>
      </c>
      <c r="T254" s="3">
        <v>8</v>
      </c>
      <c r="U254" s="3">
        <v>11</v>
      </c>
      <c r="V254" s="3">
        <v>1</v>
      </c>
      <c r="X254" s="2" t="s">
        <v>729</v>
      </c>
      <c r="Y254" s="18">
        <v>0</v>
      </c>
      <c r="Z254" s="18">
        <v>0</v>
      </c>
      <c r="AA254" s="18">
        <v>0</v>
      </c>
      <c r="AB254" s="18">
        <v>2</v>
      </c>
      <c r="AC254" s="18">
        <v>0</v>
      </c>
      <c r="AD254" s="18">
        <v>0</v>
      </c>
      <c r="AE254" s="18">
        <v>1</v>
      </c>
      <c r="AN254" s="3">
        <v>3</v>
      </c>
      <c r="AO254" s="3">
        <v>2</v>
      </c>
      <c r="AP254" s="3">
        <v>1</v>
      </c>
      <c r="AR254" s="2" t="s">
        <v>730</v>
      </c>
      <c r="AS254" s="2" t="s">
        <v>731</v>
      </c>
    </row>
    <row r="255" spans="1:46" ht="12.75" customHeight="1">
      <c r="A255" s="4">
        <f>DATE(60,4,20)</f>
        <v>22026</v>
      </c>
      <c r="C255" s="2" t="s">
        <v>367</v>
      </c>
      <c r="E255" s="18">
        <v>0</v>
      </c>
      <c r="F255" s="18">
        <v>0</v>
      </c>
      <c r="G255" s="18">
        <v>2</v>
      </c>
      <c r="H255" s="18">
        <v>0</v>
      </c>
      <c r="I255" s="18">
        <v>0</v>
      </c>
      <c r="J255" s="18">
        <v>0</v>
      </c>
      <c r="K255" s="18">
        <v>5</v>
      </c>
      <c r="T255" s="3">
        <v>7</v>
      </c>
      <c r="U255" s="3">
        <v>8</v>
      </c>
      <c r="V255" s="3">
        <v>2</v>
      </c>
      <c r="X255" s="2" t="s">
        <v>732</v>
      </c>
      <c r="Y255" s="18">
        <v>0</v>
      </c>
      <c r="Z255" s="18">
        <v>0</v>
      </c>
      <c r="AA255" s="18">
        <v>5</v>
      </c>
      <c r="AB255" s="18">
        <v>4</v>
      </c>
      <c r="AC255" s="18">
        <v>2</v>
      </c>
      <c r="AD255" s="18">
        <v>0</v>
      </c>
      <c r="AE255" s="18">
        <v>0</v>
      </c>
      <c r="AN255" s="3">
        <v>11</v>
      </c>
      <c r="AO255" s="3">
        <v>10</v>
      </c>
      <c r="AP255" s="3">
        <v>3</v>
      </c>
      <c r="AR255" s="2" t="s">
        <v>733</v>
      </c>
      <c r="AS255" s="2" t="s">
        <v>180</v>
      </c>
      <c r="AT255" s="2" t="s">
        <v>156</v>
      </c>
    </row>
    <row r="256" spans="1:44" ht="12.75" customHeight="1">
      <c r="A256" s="4">
        <f>DATE(60,4,22)</f>
        <v>22028</v>
      </c>
      <c r="B256" s="2" t="s">
        <v>152</v>
      </c>
      <c r="C256" s="2" t="s">
        <v>174</v>
      </c>
      <c r="E256" s="18">
        <v>0</v>
      </c>
      <c r="F256" s="18">
        <v>5</v>
      </c>
      <c r="G256" s="18">
        <v>0</v>
      </c>
      <c r="H256" s="18">
        <v>0</v>
      </c>
      <c r="I256" s="18">
        <v>0</v>
      </c>
      <c r="J256" s="18">
        <v>0</v>
      </c>
      <c r="K256" s="18">
        <v>2</v>
      </c>
      <c r="T256" s="3">
        <v>7</v>
      </c>
      <c r="U256" s="3">
        <v>6</v>
      </c>
      <c r="V256" s="3">
        <v>4</v>
      </c>
      <c r="X256" s="2" t="s">
        <v>729</v>
      </c>
      <c r="Y256" s="18">
        <v>0</v>
      </c>
      <c r="Z256" s="18">
        <v>0</v>
      </c>
      <c r="AA256" s="18">
        <v>4</v>
      </c>
      <c r="AB256" s="18">
        <v>0</v>
      </c>
      <c r="AC256" s="18">
        <v>0</v>
      </c>
      <c r="AD256" s="18">
        <v>0</v>
      </c>
      <c r="AE256" s="18">
        <v>0</v>
      </c>
      <c r="AN256" s="3">
        <v>4</v>
      </c>
      <c r="AO256" s="3">
        <v>7</v>
      </c>
      <c r="AP256" s="3">
        <v>5</v>
      </c>
      <c r="AR256" s="2" t="s">
        <v>712</v>
      </c>
    </row>
    <row r="257" spans="1:44" ht="12.75" customHeight="1">
      <c r="A257" s="4">
        <f>DATE(60,4,27)</f>
        <v>22033</v>
      </c>
      <c r="B257" s="2" t="s">
        <v>152</v>
      </c>
      <c r="C257" s="2" t="s">
        <v>236</v>
      </c>
      <c r="E257" s="18">
        <v>0</v>
      </c>
      <c r="F257" s="18">
        <v>0</v>
      </c>
      <c r="G257" s="18">
        <v>0</v>
      </c>
      <c r="H257" s="18">
        <v>0</v>
      </c>
      <c r="I257" s="18">
        <v>3</v>
      </c>
      <c r="J257" s="18">
        <v>0</v>
      </c>
      <c r="K257" s="18">
        <v>0</v>
      </c>
      <c r="T257" s="3">
        <v>3</v>
      </c>
      <c r="U257" s="3">
        <v>3</v>
      </c>
      <c r="V257" s="3">
        <v>2</v>
      </c>
      <c r="X257" s="2" t="s">
        <v>734</v>
      </c>
      <c r="Y257" s="18">
        <v>0</v>
      </c>
      <c r="Z257" s="18">
        <v>2</v>
      </c>
      <c r="AA257" s="18">
        <v>0</v>
      </c>
      <c r="AB257" s="18">
        <v>2</v>
      </c>
      <c r="AC257" s="18">
        <v>0</v>
      </c>
      <c r="AD257" s="18">
        <v>0</v>
      </c>
      <c r="AE257" s="18" t="s">
        <v>162</v>
      </c>
      <c r="AN257" s="3">
        <v>4</v>
      </c>
      <c r="AO257" s="3">
        <v>9</v>
      </c>
      <c r="AP257" s="3">
        <v>3</v>
      </c>
      <c r="AR257" s="2" t="s">
        <v>735</v>
      </c>
    </row>
    <row r="258" spans="1:44" ht="12.75" customHeight="1">
      <c r="A258" s="4">
        <f>DATE(60,5,2)</f>
        <v>22038</v>
      </c>
      <c r="C258" s="2" t="s">
        <v>370</v>
      </c>
      <c r="E258" s="18">
        <v>1</v>
      </c>
      <c r="F258" s="18">
        <v>2</v>
      </c>
      <c r="G258" s="18">
        <v>2</v>
      </c>
      <c r="H258" s="18">
        <v>0</v>
      </c>
      <c r="I258" s="18">
        <v>0</v>
      </c>
      <c r="J258" s="18">
        <v>0</v>
      </c>
      <c r="K258" s="18" t="s">
        <v>162</v>
      </c>
      <c r="T258" s="3">
        <v>5</v>
      </c>
      <c r="U258" s="3">
        <v>4</v>
      </c>
      <c r="V258" s="3">
        <v>0</v>
      </c>
      <c r="X258" s="2" t="s">
        <v>736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N258" s="3">
        <v>0</v>
      </c>
      <c r="AO258" s="3">
        <v>2</v>
      </c>
      <c r="AP258" s="3">
        <v>3</v>
      </c>
      <c r="AR258" s="2" t="s">
        <v>737</v>
      </c>
    </row>
    <row r="259" spans="1:44" ht="12.75" customHeight="1">
      <c r="A259" s="4">
        <f>DATE(60,5,3)</f>
        <v>22039</v>
      </c>
      <c r="B259" s="2" t="s">
        <v>152</v>
      </c>
      <c r="C259" s="2" t="s">
        <v>367</v>
      </c>
      <c r="E259" s="18">
        <v>9</v>
      </c>
      <c r="F259" s="18">
        <v>0</v>
      </c>
      <c r="G259" s="18">
        <v>0</v>
      </c>
      <c r="H259" s="18">
        <v>6</v>
      </c>
      <c r="I259" s="18">
        <v>0</v>
      </c>
      <c r="J259" s="18">
        <v>0</v>
      </c>
      <c r="K259" s="18">
        <v>2</v>
      </c>
      <c r="T259" s="3">
        <v>17</v>
      </c>
      <c r="U259" s="3">
        <v>17</v>
      </c>
      <c r="V259" s="3">
        <v>2</v>
      </c>
      <c r="X259" s="2" t="s">
        <v>738</v>
      </c>
      <c r="Y259" s="18">
        <v>0</v>
      </c>
      <c r="Z259" s="18">
        <v>0</v>
      </c>
      <c r="AA259" s="18">
        <v>0</v>
      </c>
      <c r="AB259" s="18">
        <v>3</v>
      </c>
      <c r="AC259" s="18">
        <v>0</v>
      </c>
      <c r="AD259" s="18">
        <v>0</v>
      </c>
      <c r="AE259" s="18">
        <v>0</v>
      </c>
      <c r="AN259" s="3">
        <v>3</v>
      </c>
      <c r="AO259" s="3">
        <v>6</v>
      </c>
      <c r="AP259" s="3">
        <v>7</v>
      </c>
      <c r="AR259" s="2" t="s">
        <v>739</v>
      </c>
    </row>
    <row r="260" spans="1:44" ht="12.75" customHeight="1">
      <c r="A260" s="4">
        <f>DATE(60,5,5)</f>
        <v>22041</v>
      </c>
      <c r="C260" s="2" t="s">
        <v>169</v>
      </c>
      <c r="E260" s="18">
        <v>0</v>
      </c>
      <c r="F260" s="18">
        <v>0</v>
      </c>
      <c r="G260" s="18">
        <v>0</v>
      </c>
      <c r="H260" s="18">
        <v>1</v>
      </c>
      <c r="I260" s="18">
        <v>0</v>
      </c>
      <c r="J260" s="18">
        <v>0</v>
      </c>
      <c r="K260" s="18">
        <v>0</v>
      </c>
      <c r="T260" s="3">
        <v>1</v>
      </c>
      <c r="U260" s="3">
        <v>1</v>
      </c>
      <c r="V260" s="3">
        <v>2</v>
      </c>
      <c r="X260" s="2" t="s">
        <v>713</v>
      </c>
      <c r="Y260" s="18">
        <v>3</v>
      </c>
      <c r="Z260" s="18">
        <v>0</v>
      </c>
      <c r="AA260" s="18">
        <v>1</v>
      </c>
      <c r="AB260" s="18">
        <v>0</v>
      </c>
      <c r="AC260" s="18">
        <v>0</v>
      </c>
      <c r="AD260" s="18">
        <v>0</v>
      </c>
      <c r="AE260" s="18">
        <v>0</v>
      </c>
      <c r="AN260" s="3">
        <v>4</v>
      </c>
      <c r="AO260" s="3">
        <v>6</v>
      </c>
      <c r="AP260" s="3">
        <v>4</v>
      </c>
      <c r="AR260" s="2" t="s">
        <v>726</v>
      </c>
    </row>
    <row r="261" spans="1:44" ht="12.75" customHeight="1">
      <c r="A261" s="4">
        <f>DATE(60,5,19)</f>
        <v>22055</v>
      </c>
      <c r="B261" s="2" t="s">
        <v>152</v>
      </c>
      <c r="C261" s="2" t="s">
        <v>169</v>
      </c>
      <c r="E261" s="18">
        <v>2</v>
      </c>
      <c r="F261" s="18">
        <v>1</v>
      </c>
      <c r="G261" s="18">
        <v>1</v>
      </c>
      <c r="H261" s="18">
        <v>1</v>
      </c>
      <c r="I261" s="18">
        <v>2</v>
      </c>
      <c r="J261" s="18">
        <v>0</v>
      </c>
      <c r="K261" s="18">
        <v>0</v>
      </c>
      <c r="T261" s="3">
        <v>7</v>
      </c>
      <c r="U261" s="3">
        <v>12</v>
      </c>
      <c r="V261" s="3">
        <v>2</v>
      </c>
      <c r="X261" s="2" t="s">
        <v>740</v>
      </c>
      <c r="Y261" s="18">
        <v>1</v>
      </c>
      <c r="Z261" s="18">
        <v>0</v>
      </c>
      <c r="AA261" s="18">
        <v>2</v>
      </c>
      <c r="AB261" s="18">
        <v>0</v>
      </c>
      <c r="AC261" s="18">
        <v>8</v>
      </c>
      <c r="AD261" s="18">
        <v>0</v>
      </c>
      <c r="AE261" s="18" t="s">
        <v>162</v>
      </c>
      <c r="AN261" s="3">
        <v>11</v>
      </c>
      <c r="AO261" s="3">
        <v>5</v>
      </c>
      <c r="AP261" s="3">
        <v>3</v>
      </c>
      <c r="AR261" s="2" t="s">
        <v>741</v>
      </c>
    </row>
    <row r="262" spans="1:44" ht="12.75" customHeight="1">
      <c r="A262" s="4">
        <f>DATE(60,5,20)</f>
        <v>22056</v>
      </c>
      <c r="B262" s="2" t="s">
        <v>152</v>
      </c>
      <c r="C262" s="2" t="s">
        <v>370</v>
      </c>
      <c r="E262" s="18">
        <v>4</v>
      </c>
      <c r="F262" s="18">
        <v>2</v>
      </c>
      <c r="G262" s="18">
        <v>0</v>
      </c>
      <c r="H262" s="18">
        <v>0</v>
      </c>
      <c r="I262" s="18">
        <v>0</v>
      </c>
      <c r="J262" s="18">
        <v>1</v>
      </c>
      <c r="K262" s="18">
        <v>0</v>
      </c>
      <c r="T262" s="3">
        <v>7</v>
      </c>
      <c r="U262" s="3">
        <v>11</v>
      </c>
      <c r="V262" s="3">
        <v>1</v>
      </c>
      <c r="X262" s="2" t="s">
        <v>736</v>
      </c>
      <c r="Y262" s="18">
        <v>0</v>
      </c>
      <c r="Z262" s="18">
        <v>0</v>
      </c>
      <c r="AA262" s="18">
        <v>1</v>
      </c>
      <c r="AB262" s="18">
        <v>0</v>
      </c>
      <c r="AC262" s="18">
        <v>0</v>
      </c>
      <c r="AD262" s="18">
        <v>0</v>
      </c>
      <c r="AE262" s="18">
        <v>0</v>
      </c>
      <c r="AN262" s="3">
        <v>1</v>
      </c>
      <c r="AO262" s="3">
        <v>8</v>
      </c>
      <c r="AP262" s="3">
        <v>3</v>
      </c>
      <c r="AR262" s="2" t="s">
        <v>742</v>
      </c>
    </row>
    <row r="263" ht="12.75" customHeight="1">
      <c r="A263" s="4"/>
    </row>
    <row r="264" spans="1:45" ht="12.75" customHeight="1">
      <c r="A264" s="4">
        <f>DATE(61,4,19)</f>
        <v>22390</v>
      </c>
      <c r="C264" s="2" t="s">
        <v>174</v>
      </c>
      <c r="E264" s="18">
        <v>2</v>
      </c>
      <c r="F264" s="18">
        <v>0</v>
      </c>
      <c r="G264" s="18">
        <v>1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T264" s="3">
        <v>3</v>
      </c>
      <c r="U264" s="3">
        <v>5</v>
      </c>
      <c r="V264" s="3">
        <v>5</v>
      </c>
      <c r="X264" s="2" t="s">
        <v>743</v>
      </c>
      <c r="Y264" s="18">
        <v>0</v>
      </c>
      <c r="Z264" s="18">
        <v>0</v>
      </c>
      <c r="AA264" s="18">
        <v>1</v>
      </c>
      <c r="AB264" s="18">
        <v>1</v>
      </c>
      <c r="AC264" s="18">
        <v>0</v>
      </c>
      <c r="AD264" s="18">
        <v>1</v>
      </c>
      <c r="AE264" s="18">
        <v>0</v>
      </c>
      <c r="AF264" s="18">
        <v>0</v>
      </c>
      <c r="AN264" s="3">
        <v>3</v>
      </c>
      <c r="AO264" s="3">
        <v>5</v>
      </c>
      <c r="AP264" s="3">
        <v>4</v>
      </c>
      <c r="AR264" s="2" t="s">
        <v>744</v>
      </c>
      <c r="AS264" s="2" t="s">
        <v>731</v>
      </c>
    </row>
    <row r="265" spans="1:47" ht="12.75" customHeight="1">
      <c r="A265" s="4">
        <f>DATE(61,4,26)</f>
        <v>22397</v>
      </c>
      <c r="B265" s="2" t="s">
        <v>152</v>
      </c>
      <c r="C265" s="2" t="s">
        <v>236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T265" s="3">
        <v>0</v>
      </c>
      <c r="U265" s="3">
        <v>2</v>
      </c>
      <c r="V265" s="3">
        <v>5</v>
      </c>
      <c r="X265" s="2" t="s">
        <v>720</v>
      </c>
      <c r="Y265" s="18">
        <v>2</v>
      </c>
      <c r="Z265" s="18">
        <v>1</v>
      </c>
      <c r="AA265" s="18">
        <v>0</v>
      </c>
      <c r="AB265" s="18">
        <v>0</v>
      </c>
      <c r="AC265" s="18">
        <v>2</v>
      </c>
      <c r="AD265" s="18">
        <v>0</v>
      </c>
      <c r="AE265" s="18" t="s">
        <v>162</v>
      </c>
      <c r="AN265" s="3">
        <v>5</v>
      </c>
      <c r="AO265" s="3">
        <v>6</v>
      </c>
      <c r="AP265" s="3">
        <v>1</v>
      </c>
      <c r="AR265" s="2" t="s">
        <v>745</v>
      </c>
      <c r="AS265" s="2" t="s">
        <v>180</v>
      </c>
      <c r="AT265" s="2" t="s">
        <v>180</v>
      </c>
      <c r="AU265" s="2" t="s">
        <v>177</v>
      </c>
    </row>
    <row r="266" spans="1:44" ht="12.75" customHeight="1">
      <c r="A266" s="4">
        <f>DATE(61,4,27)</f>
        <v>22398</v>
      </c>
      <c r="C266" s="2" t="s">
        <v>371</v>
      </c>
      <c r="E266" s="18">
        <v>0</v>
      </c>
      <c r="F266" s="18">
        <v>0</v>
      </c>
      <c r="G266" s="18">
        <v>0</v>
      </c>
      <c r="H266" s="18">
        <v>0</v>
      </c>
      <c r="I266" s="18">
        <v>1</v>
      </c>
      <c r="J266" s="18">
        <v>2</v>
      </c>
      <c r="K266" s="18">
        <v>0</v>
      </c>
      <c r="T266" s="3">
        <v>3</v>
      </c>
      <c r="U266" s="3">
        <v>5</v>
      </c>
      <c r="V266" s="3">
        <v>6</v>
      </c>
      <c r="X266" s="2" t="s">
        <v>746</v>
      </c>
      <c r="Y266" s="18">
        <v>2</v>
      </c>
      <c r="Z266" s="18">
        <v>0</v>
      </c>
      <c r="AA266" s="18">
        <v>0</v>
      </c>
      <c r="AB266" s="18">
        <v>8</v>
      </c>
      <c r="AC266" s="18">
        <v>4</v>
      </c>
      <c r="AD266" s="18">
        <v>0</v>
      </c>
      <c r="AE266" s="18">
        <v>1</v>
      </c>
      <c r="AN266" s="3">
        <v>15</v>
      </c>
      <c r="AO266" s="3">
        <v>13</v>
      </c>
      <c r="AP266" s="3">
        <v>1</v>
      </c>
      <c r="AR266" s="2" t="s">
        <v>747</v>
      </c>
    </row>
    <row r="267" spans="1:44" ht="12.75" customHeight="1">
      <c r="A267" s="4">
        <f>DATE(61,5,1)</f>
        <v>22402</v>
      </c>
      <c r="C267" s="2" t="s">
        <v>169</v>
      </c>
      <c r="E267" s="18">
        <v>0</v>
      </c>
      <c r="F267" s="18">
        <v>0</v>
      </c>
      <c r="G267" s="18">
        <v>0</v>
      </c>
      <c r="H267" s="18">
        <v>3</v>
      </c>
      <c r="I267" s="18">
        <v>0</v>
      </c>
      <c r="J267" s="18">
        <v>1</v>
      </c>
      <c r="K267" s="18">
        <v>0</v>
      </c>
      <c r="T267" s="3">
        <v>4</v>
      </c>
      <c r="U267" s="3">
        <v>5</v>
      </c>
      <c r="V267" s="3">
        <v>3</v>
      </c>
      <c r="X267" s="2" t="s">
        <v>748</v>
      </c>
      <c r="Y267" s="18">
        <v>2</v>
      </c>
      <c r="Z267" s="18">
        <v>0</v>
      </c>
      <c r="AA267" s="18">
        <v>0</v>
      </c>
      <c r="AB267" s="18">
        <v>0</v>
      </c>
      <c r="AC267" s="18">
        <v>0</v>
      </c>
      <c r="AD267" s="18">
        <v>1</v>
      </c>
      <c r="AE267" s="18">
        <v>0</v>
      </c>
      <c r="AN267" s="3">
        <v>3</v>
      </c>
      <c r="AO267" s="3">
        <v>4</v>
      </c>
      <c r="AP267" s="3">
        <v>2</v>
      </c>
      <c r="AR267" s="2" t="s">
        <v>749</v>
      </c>
    </row>
    <row r="268" spans="1:44" ht="12.75" customHeight="1">
      <c r="A268" s="4">
        <f>DATE(61,5,2)</f>
        <v>22403</v>
      </c>
      <c r="B268" s="2" t="s">
        <v>152</v>
      </c>
      <c r="C268" s="2" t="s">
        <v>370</v>
      </c>
      <c r="E268" s="18">
        <v>2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5</v>
      </c>
      <c r="T268" s="3">
        <v>7</v>
      </c>
      <c r="U268" s="3">
        <v>7</v>
      </c>
      <c r="V268" s="3">
        <v>2</v>
      </c>
      <c r="X268" s="2" t="s">
        <v>750</v>
      </c>
      <c r="Y268" s="18">
        <v>3</v>
      </c>
      <c r="Z268" s="18">
        <v>0</v>
      </c>
      <c r="AA268" s="18">
        <v>1</v>
      </c>
      <c r="AB268" s="18">
        <v>0</v>
      </c>
      <c r="AC268" s="18">
        <v>0</v>
      </c>
      <c r="AD268" s="18">
        <v>1</v>
      </c>
      <c r="AE268" s="18">
        <v>0</v>
      </c>
      <c r="AN268" s="3">
        <v>5</v>
      </c>
      <c r="AO268" s="3">
        <v>11</v>
      </c>
      <c r="AP268" s="3">
        <v>1</v>
      </c>
      <c r="AR268" s="2" t="s">
        <v>751</v>
      </c>
    </row>
    <row r="269" spans="1:44" ht="12.75" customHeight="1">
      <c r="A269" s="4">
        <f>DATE(61,5,4)</f>
        <v>22405</v>
      </c>
      <c r="C269" s="2" t="s">
        <v>331</v>
      </c>
      <c r="E269" s="18">
        <v>0</v>
      </c>
      <c r="F269" s="18">
        <v>0</v>
      </c>
      <c r="G269" s="18">
        <v>0</v>
      </c>
      <c r="H269" s="18">
        <v>3</v>
      </c>
      <c r="I269" s="18">
        <v>1</v>
      </c>
      <c r="J269" s="18">
        <v>1</v>
      </c>
      <c r="K269" s="18" t="s">
        <v>162</v>
      </c>
      <c r="T269" s="3">
        <v>5</v>
      </c>
      <c r="U269" s="3">
        <v>7</v>
      </c>
      <c r="V269" s="3">
        <v>1</v>
      </c>
      <c r="X269" s="2" t="s">
        <v>713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N269" s="3">
        <v>0</v>
      </c>
      <c r="AO269" s="3">
        <v>2</v>
      </c>
      <c r="AP269" s="3">
        <v>2</v>
      </c>
      <c r="AR269" s="2" t="s">
        <v>752</v>
      </c>
    </row>
    <row r="270" spans="1:44" ht="12.75" customHeight="1">
      <c r="A270" s="4">
        <f>DATE(61,5,5)</f>
        <v>22406</v>
      </c>
      <c r="B270" s="2" t="s">
        <v>152</v>
      </c>
      <c r="C270" s="2" t="s">
        <v>371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T270" s="3">
        <v>0</v>
      </c>
      <c r="U270" s="3">
        <v>2</v>
      </c>
      <c r="V270" s="3">
        <v>2</v>
      </c>
      <c r="X270" s="2" t="s">
        <v>753</v>
      </c>
      <c r="Y270" s="18">
        <v>2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N270" s="3">
        <v>2</v>
      </c>
      <c r="AO270" s="3">
        <v>6</v>
      </c>
      <c r="AP270" s="3">
        <v>2</v>
      </c>
      <c r="AR270" s="2" t="s">
        <v>754</v>
      </c>
    </row>
    <row r="271" spans="1:44" ht="12.75" customHeight="1">
      <c r="A271" s="4">
        <f>DATE(61,5,10)</f>
        <v>22411</v>
      </c>
      <c r="C271" s="2" t="s">
        <v>236</v>
      </c>
      <c r="E271" s="18">
        <v>0</v>
      </c>
      <c r="F271" s="18">
        <v>0</v>
      </c>
      <c r="G271" s="18">
        <v>0</v>
      </c>
      <c r="H271" s="18">
        <v>0</v>
      </c>
      <c r="I271" s="18">
        <v>4</v>
      </c>
      <c r="J271" s="18">
        <v>0</v>
      </c>
      <c r="K271" s="18">
        <v>1</v>
      </c>
      <c r="T271" s="3">
        <v>5</v>
      </c>
      <c r="U271" s="3">
        <v>7</v>
      </c>
      <c r="V271" s="3">
        <v>3</v>
      </c>
      <c r="X271" s="2" t="s">
        <v>748</v>
      </c>
      <c r="Y271" s="18">
        <v>0</v>
      </c>
      <c r="Z271" s="18">
        <v>0</v>
      </c>
      <c r="AA271" s="18">
        <v>2</v>
      </c>
      <c r="AB271" s="18">
        <v>1</v>
      </c>
      <c r="AC271" s="18">
        <v>1</v>
      </c>
      <c r="AD271" s="18">
        <v>0</v>
      </c>
      <c r="AE271" s="18">
        <v>0</v>
      </c>
      <c r="AN271" s="3">
        <v>4</v>
      </c>
      <c r="AO271" s="3">
        <v>8</v>
      </c>
      <c r="AP271" s="3">
        <v>2</v>
      </c>
      <c r="AR271" s="2" t="s">
        <v>755</v>
      </c>
    </row>
    <row r="272" spans="1:44" ht="12.75" customHeight="1">
      <c r="A272" s="4">
        <f>DATE(61,5,11)</f>
        <v>22412</v>
      </c>
      <c r="B272" s="2" t="s">
        <v>152</v>
      </c>
      <c r="C272" s="2" t="s">
        <v>169</v>
      </c>
      <c r="E272" s="18">
        <v>0</v>
      </c>
      <c r="F272" s="18">
        <v>1</v>
      </c>
      <c r="G272" s="18">
        <v>2</v>
      </c>
      <c r="H272" s="18">
        <v>0</v>
      </c>
      <c r="I272" s="18">
        <v>0</v>
      </c>
      <c r="J272" s="18">
        <v>0</v>
      </c>
      <c r="K272" s="18">
        <v>0</v>
      </c>
      <c r="T272" s="3">
        <v>3</v>
      </c>
      <c r="U272" s="3">
        <v>6</v>
      </c>
      <c r="V272" s="3">
        <v>4</v>
      </c>
      <c r="X272" s="2" t="s">
        <v>720</v>
      </c>
      <c r="Y272" s="18">
        <v>0</v>
      </c>
      <c r="Z272" s="18">
        <v>0</v>
      </c>
      <c r="AA272" s="18">
        <v>4</v>
      </c>
      <c r="AB272" s="18">
        <v>1</v>
      </c>
      <c r="AC272" s="18">
        <v>0</v>
      </c>
      <c r="AD272" s="18">
        <v>0</v>
      </c>
      <c r="AE272" s="18" t="s">
        <v>162</v>
      </c>
      <c r="AN272" s="3">
        <v>5</v>
      </c>
      <c r="AO272" s="3">
        <v>4</v>
      </c>
      <c r="AP272" s="3">
        <v>2</v>
      </c>
      <c r="AR272" s="2" t="s">
        <v>756</v>
      </c>
    </row>
    <row r="273" spans="1:44" ht="12.75" customHeight="1">
      <c r="A273" s="4">
        <f>DATE(61,5,15)</f>
        <v>22416</v>
      </c>
      <c r="B273" s="2" t="s">
        <v>152</v>
      </c>
      <c r="C273" s="2" t="s">
        <v>367</v>
      </c>
      <c r="E273" s="18">
        <v>0</v>
      </c>
      <c r="F273" s="18">
        <v>0</v>
      </c>
      <c r="G273" s="18">
        <v>0</v>
      </c>
      <c r="H273" s="18">
        <v>0</v>
      </c>
      <c r="I273" s="18">
        <v>1</v>
      </c>
      <c r="J273" s="18">
        <v>0</v>
      </c>
      <c r="T273" s="3">
        <v>1</v>
      </c>
      <c r="U273" s="3">
        <v>5</v>
      </c>
      <c r="V273" s="3">
        <v>1</v>
      </c>
      <c r="X273" s="2" t="s">
        <v>738</v>
      </c>
      <c r="Y273" s="18">
        <v>0</v>
      </c>
      <c r="Z273" s="18">
        <v>2</v>
      </c>
      <c r="AA273" s="18">
        <v>1</v>
      </c>
      <c r="AB273" s="18">
        <v>0</v>
      </c>
      <c r="AC273" s="18">
        <v>0</v>
      </c>
      <c r="AD273" s="18">
        <v>1</v>
      </c>
      <c r="AN273" s="3">
        <v>4</v>
      </c>
      <c r="AO273" s="3">
        <v>3</v>
      </c>
      <c r="AP273" s="3">
        <v>0</v>
      </c>
      <c r="AR273" s="2" t="s">
        <v>757</v>
      </c>
    </row>
    <row r="274" spans="1:44" ht="12.75" customHeight="1">
      <c r="A274" s="4">
        <f>DATE(61,5,16)</f>
        <v>22417</v>
      </c>
      <c r="C274" s="2" t="s">
        <v>370</v>
      </c>
      <c r="E274" s="18">
        <v>2</v>
      </c>
      <c r="F274" s="18">
        <v>0</v>
      </c>
      <c r="G274" s="18">
        <v>4</v>
      </c>
      <c r="H274" s="18">
        <v>2</v>
      </c>
      <c r="I274" s="18">
        <v>0</v>
      </c>
      <c r="J274" s="18">
        <v>0</v>
      </c>
      <c r="K274" s="18" t="s">
        <v>162</v>
      </c>
      <c r="T274" s="3">
        <v>8</v>
      </c>
      <c r="U274" s="3">
        <v>9</v>
      </c>
      <c r="V274" s="3">
        <v>2</v>
      </c>
      <c r="X274" s="2" t="s">
        <v>788</v>
      </c>
      <c r="Y274" s="18">
        <v>2</v>
      </c>
      <c r="Z274" s="18">
        <v>0</v>
      </c>
      <c r="AA274" s="18">
        <v>2</v>
      </c>
      <c r="AB274" s="18">
        <v>0</v>
      </c>
      <c r="AC274" s="18">
        <v>0</v>
      </c>
      <c r="AD274" s="18">
        <v>0</v>
      </c>
      <c r="AE274" s="18">
        <v>0</v>
      </c>
      <c r="AN274" s="3">
        <v>4</v>
      </c>
      <c r="AO274" s="3">
        <v>9</v>
      </c>
      <c r="AP274" s="3">
        <v>2</v>
      </c>
      <c r="AR274" s="2" t="s">
        <v>789</v>
      </c>
    </row>
    <row r="275" ht="12.75" customHeight="1">
      <c r="A275" s="4"/>
    </row>
    <row r="276" spans="1:45" ht="12.75" customHeight="1">
      <c r="A276" s="4">
        <f>DATE(62,4,11)</f>
        <v>22747</v>
      </c>
      <c r="C276" s="2" t="s">
        <v>169</v>
      </c>
      <c r="E276" s="18">
        <v>2</v>
      </c>
      <c r="F276" s="18">
        <v>1</v>
      </c>
      <c r="G276" s="18">
        <v>0</v>
      </c>
      <c r="H276" s="18">
        <v>0</v>
      </c>
      <c r="I276" s="18">
        <v>0</v>
      </c>
      <c r="J276" s="18">
        <v>0</v>
      </c>
      <c r="K276" s="18" t="s">
        <v>162</v>
      </c>
      <c r="T276" s="3">
        <v>3</v>
      </c>
      <c r="U276" s="3">
        <v>6</v>
      </c>
      <c r="V276" s="3">
        <v>0</v>
      </c>
      <c r="X276" s="2" t="s">
        <v>788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N276" s="3">
        <v>0</v>
      </c>
      <c r="AO276" s="3">
        <v>5</v>
      </c>
      <c r="AP276" s="3">
        <v>1</v>
      </c>
      <c r="AR276" s="2" t="s">
        <v>790</v>
      </c>
      <c r="AS276" s="2" t="s">
        <v>731</v>
      </c>
    </row>
    <row r="277" spans="1:46" ht="12.75" customHeight="1">
      <c r="A277" s="4">
        <f>DATE(62,4,27)</f>
        <v>22763</v>
      </c>
      <c r="B277" s="2" t="s">
        <v>152</v>
      </c>
      <c r="C277" s="2" t="s">
        <v>331</v>
      </c>
      <c r="E277" s="18">
        <v>3</v>
      </c>
      <c r="F277" s="18">
        <v>0</v>
      </c>
      <c r="G277" s="18">
        <v>0</v>
      </c>
      <c r="H277" s="18">
        <v>0</v>
      </c>
      <c r="I277" s="18">
        <v>1</v>
      </c>
      <c r="J277" s="18">
        <v>0</v>
      </c>
      <c r="K277" s="18">
        <v>0</v>
      </c>
      <c r="T277" s="3">
        <v>4</v>
      </c>
      <c r="U277" s="3">
        <v>7</v>
      </c>
      <c r="V277" s="3">
        <v>4</v>
      </c>
      <c r="X277" s="2" t="s">
        <v>791</v>
      </c>
      <c r="Y277" s="18">
        <v>3</v>
      </c>
      <c r="Z277" s="18">
        <v>1</v>
      </c>
      <c r="AA277" s="18">
        <v>0</v>
      </c>
      <c r="AB277" s="18">
        <v>1</v>
      </c>
      <c r="AC277" s="18">
        <v>1</v>
      </c>
      <c r="AD277" s="18">
        <v>2</v>
      </c>
      <c r="AE277" s="18" t="s">
        <v>162</v>
      </c>
      <c r="AN277" s="3">
        <v>8</v>
      </c>
      <c r="AO277" s="3">
        <v>8</v>
      </c>
      <c r="AP277" s="3">
        <v>4</v>
      </c>
      <c r="AR277" s="2" t="s">
        <v>792</v>
      </c>
      <c r="AS277" s="2" t="s">
        <v>190</v>
      </c>
      <c r="AT277" s="2" t="s">
        <v>194</v>
      </c>
    </row>
    <row r="278" spans="1:44" ht="12.75" customHeight="1">
      <c r="A278" s="4">
        <f>DATE(62,5,1)</f>
        <v>22767</v>
      </c>
      <c r="C278" s="2" t="s">
        <v>370</v>
      </c>
      <c r="E278" s="18">
        <v>0</v>
      </c>
      <c r="F278" s="18">
        <v>0</v>
      </c>
      <c r="G278" s="18">
        <v>0</v>
      </c>
      <c r="H278" s="18">
        <v>0</v>
      </c>
      <c r="I278" s="18">
        <v>1</v>
      </c>
      <c r="J278" s="18">
        <v>3</v>
      </c>
      <c r="K278" s="18" t="s">
        <v>162</v>
      </c>
      <c r="T278" s="3">
        <v>4</v>
      </c>
      <c r="U278" s="3">
        <v>7</v>
      </c>
      <c r="V278" s="3">
        <v>3</v>
      </c>
      <c r="X278" s="2" t="s">
        <v>793</v>
      </c>
      <c r="Y278" s="18">
        <v>0</v>
      </c>
      <c r="Z278" s="18">
        <v>0</v>
      </c>
      <c r="AA278" s="18">
        <v>1</v>
      </c>
      <c r="AB278" s="18">
        <v>0</v>
      </c>
      <c r="AC278" s="18">
        <v>0</v>
      </c>
      <c r="AD278" s="18">
        <v>2</v>
      </c>
      <c r="AE278" s="18">
        <v>0</v>
      </c>
      <c r="AN278" s="3">
        <v>3</v>
      </c>
      <c r="AO278" s="3">
        <v>7</v>
      </c>
      <c r="AP278" s="3">
        <v>3</v>
      </c>
      <c r="AR278" s="2" t="s">
        <v>794</v>
      </c>
    </row>
    <row r="279" spans="1:44" ht="12.75" customHeight="1">
      <c r="A279" s="4">
        <f>DATE(62,5,3)</f>
        <v>22769</v>
      </c>
      <c r="C279" s="2" t="s">
        <v>236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T279" s="3">
        <v>0</v>
      </c>
      <c r="U279" s="3">
        <v>6</v>
      </c>
      <c r="V279" s="3">
        <v>1</v>
      </c>
      <c r="X279" s="2" t="s">
        <v>788</v>
      </c>
      <c r="Y279" s="18">
        <v>1</v>
      </c>
      <c r="Z279" s="18">
        <v>0</v>
      </c>
      <c r="AA279" s="18">
        <v>0</v>
      </c>
      <c r="AB279" s="18">
        <v>1</v>
      </c>
      <c r="AC279" s="18">
        <v>0</v>
      </c>
      <c r="AD279" s="18">
        <v>0</v>
      </c>
      <c r="AE279" s="18">
        <v>0</v>
      </c>
      <c r="AN279" s="3">
        <v>2</v>
      </c>
      <c r="AO279" s="3">
        <v>7</v>
      </c>
      <c r="AP279" s="3">
        <v>1</v>
      </c>
      <c r="AR279" s="2" t="s">
        <v>795</v>
      </c>
    </row>
    <row r="280" spans="1:44" ht="12.75" customHeight="1">
      <c r="A280" s="4">
        <f>DATE(62,5,9)</f>
        <v>22775</v>
      </c>
      <c r="C280" s="2" t="s">
        <v>371</v>
      </c>
      <c r="E280" s="18">
        <v>1</v>
      </c>
      <c r="F280" s="18">
        <v>1</v>
      </c>
      <c r="G280" s="18">
        <v>0</v>
      </c>
      <c r="H280" s="18">
        <v>0</v>
      </c>
      <c r="I280" s="18">
        <v>0</v>
      </c>
      <c r="J280" s="18">
        <v>0</v>
      </c>
      <c r="K280" s="18" t="s">
        <v>162</v>
      </c>
      <c r="T280" s="3">
        <v>2</v>
      </c>
      <c r="U280" s="3">
        <v>6</v>
      </c>
      <c r="V280" s="3">
        <v>0</v>
      </c>
      <c r="X280" s="2" t="s">
        <v>788</v>
      </c>
      <c r="Y280" s="18">
        <v>1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N280" s="3">
        <v>1</v>
      </c>
      <c r="AO280" s="3">
        <v>4</v>
      </c>
      <c r="AP280" s="3">
        <v>0</v>
      </c>
      <c r="AR280" s="2" t="s">
        <v>796</v>
      </c>
    </row>
    <row r="281" spans="1:44" ht="12.75" customHeight="1">
      <c r="A281" s="4">
        <f>DATE(62,5,10)</f>
        <v>22776</v>
      </c>
      <c r="B281" s="2" t="s">
        <v>152</v>
      </c>
      <c r="C281" s="2" t="s">
        <v>169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3</v>
      </c>
      <c r="K281" s="18">
        <v>0</v>
      </c>
      <c r="T281" s="3">
        <v>3</v>
      </c>
      <c r="U281" s="3">
        <v>5</v>
      </c>
      <c r="V281" s="3">
        <v>3</v>
      </c>
      <c r="X281" s="2" t="s">
        <v>797</v>
      </c>
      <c r="Y281" s="18">
        <v>3</v>
      </c>
      <c r="Z281" s="18">
        <v>0</v>
      </c>
      <c r="AA281" s="18">
        <v>0</v>
      </c>
      <c r="AB281" s="18">
        <v>0</v>
      </c>
      <c r="AC281" s="18">
        <v>0</v>
      </c>
      <c r="AD281" s="18">
        <v>4</v>
      </c>
      <c r="AE281" s="18" t="s">
        <v>162</v>
      </c>
      <c r="AN281" s="3">
        <v>7</v>
      </c>
      <c r="AO281" s="3">
        <v>9</v>
      </c>
      <c r="AP281" s="3">
        <v>2</v>
      </c>
      <c r="AR281" s="2" t="s">
        <v>798</v>
      </c>
    </row>
    <row r="282" spans="1:44" ht="12.75" customHeight="1">
      <c r="A282" s="4">
        <f>DATE(62,5,14)</f>
        <v>22780</v>
      </c>
      <c r="B282" s="2" t="s">
        <v>152</v>
      </c>
      <c r="C282" s="2" t="s">
        <v>236</v>
      </c>
      <c r="E282" s="18">
        <v>1</v>
      </c>
      <c r="F282" s="18">
        <v>0</v>
      </c>
      <c r="G282" s="18">
        <v>0</v>
      </c>
      <c r="H282" s="18">
        <v>0</v>
      </c>
      <c r="I282" s="18">
        <v>0</v>
      </c>
      <c r="J282" s="18">
        <v>5</v>
      </c>
      <c r="K282" s="18">
        <v>0</v>
      </c>
      <c r="T282" s="3">
        <v>6</v>
      </c>
      <c r="U282" s="3">
        <v>7</v>
      </c>
      <c r="V282" s="3">
        <v>9</v>
      </c>
      <c r="X282" s="2" t="s">
        <v>799</v>
      </c>
      <c r="Y282" s="18">
        <v>6</v>
      </c>
      <c r="Z282" s="18">
        <v>3</v>
      </c>
      <c r="AA282" s="18">
        <v>4</v>
      </c>
      <c r="AB282" s="18">
        <v>0</v>
      </c>
      <c r="AC282" s="18">
        <v>5</v>
      </c>
      <c r="AD282" s="18">
        <v>0</v>
      </c>
      <c r="AE282" s="18" t="s">
        <v>162</v>
      </c>
      <c r="AN282" s="3">
        <v>18</v>
      </c>
      <c r="AO282" s="3">
        <v>19</v>
      </c>
      <c r="AP282" s="3">
        <v>6</v>
      </c>
      <c r="AR282" s="2" t="s">
        <v>800</v>
      </c>
    </row>
    <row r="283" spans="1:44" ht="12.75" customHeight="1">
      <c r="A283" s="4">
        <f>DATE(62,5,15)</f>
        <v>22781</v>
      </c>
      <c r="B283" s="2" t="s">
        <v>152</v>
      </c>
      <c r="C283" s="2" t="s">
        <v>370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T283" s="3">
        <v>0</v>
      </c>
      <c r="U283" s="3">
        <v>4</v>
      </c>
      <c r="V283" s="3">
        <v>2</v>
      </c>
      <c r="X283" s="2" t="s">
        <v>801</v>
      </c>
      <c r="Y283" s="18">
        <v>1</v>
      </c>
      <c r="Z283" s="18">
        <v>0</v>
      </c>
      <c r="AA283" s="18">
        <v>0</v>
      </c>
      <c r="AB283" s="18">
        <v>1</v>
      </c>
      <c r="AC283" s="18">
        <v>0</v>
      </c>
      <c r="AD283" s="18">
        <v>0</v>
      </c>
      <c r="AE283" s="18" t="s">
        <v>162</v>
      </c>
      <c r="AN283" s="3">
        <v>2</v>
      </c>
      <c r="AO283" s="3">
        <v>3</v>
      </c>
      <c r="AP283" s="3">
        <v>4</v>
      </c>
      <c r="AR283" s="2" t="s">
        <v>802</v>
      </c>
    </row>
    <row r="284" spans="1:44" ht="12.75" customHeight="1">
      <c r="A284" s="4">
        <f>DATE(62,5,17)</f>
        <v>22783</v>
      </c>
      <c r="C284" s="2" t="s">
        <v>331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T284" s="3">
        <v>0</v>
      </c>
      <c r="U284" s="3">
        <v>8</v>
      </c>
      <c r="V284" s="3">
        <v>2</v>
      </c>
      <c r="X284" s="2" t="s">
        <v>788</v>
      </c>
      <c r="Y284" s="18">
        <v>0</v>
      </c>
      <c r="Z284" s="18">
        <v>1</v>
      </c>
      <c r="AA284" s="18">
        <v>0</v>
      </c>
      <c r="AB284" s="18">
        <v>2</v>
      </c>
      <c r="AC284" s="18">
        <v>0</v>
      </c>
      <c r="AD284" s="18">
        <v>1</v>
      </c>
      <c r="AE284" s="18">
        <v>0</v>
      </c>
      <c r="AN284" s="3">
        <v>4</v>
      </c>
      <c r="AO284" s="3">
        <v>6</v>
      </c>
      <c r="AP284" s="3">
        <v>0</v>
      </c>
      <c r="AR284" s="2" t="s">
        <v>792</v>
      </c>
    </row>
    <row r="285" spans="1:44" ht="12.75" customHeight="1">
      <c r="A285" s="4">
        <f>DATE(62,5,18)</f>
        <v>22784</v>
      </c>
      <c r="B285" s="2" t="s">
        <v>152</v>
      </c>
      <c r="C285" s="2" t="s">
        <v>192</v>
      </c>
      <c r="E285" s="18">
        <v>1</v>
      </c>
      <c r="F285" s="18">
        <v>3</v>
      </c>
      <c r="G285" s="18">
        <v>0</v>
      </c>
      <c r="H285" s="18">
        <v>0</v>
      </c>
      <c r="I285" s="18">
        <v>0</v>
      </c>
      <c r="J285" s="18">
        <v>1</v>
      </c>
      <c r="K285" s="18">
        <v>0</v>
      </c>
      <c r="T285" s="3">
        <v>5</v>
      </c>
      <c r="U285" s="3">
        <v>9</v>
      </c>
      <c r="V285" s="3">
        <v>0</v>
      </c>
      <c r="X285" s="2" t="s">
        <v>803</v>
      </c>
      <c r="Y285" s="18">
        <v>0</v>
      </c>
      <c r="Z285" s="18">
        <v>0</v>
      </c>
      <c r="AA285" s="18">
        <v>1</v>
      </c>
      <c r="AB285" s="18">
        <v>1</v>
      </c>
      <c r="AC285" s="18">
        <v>4</v>
      </c>
      <c r="AD285" s="18">
        <v>0</v>
      </c>
      <c r="AE285" s="18" t="s">
        <v>162</v>
      </c>
      <c r="AN285" s="3">
        <v>6</v>
      </c>
      <c r="AO285" s="3">
        <v>9</v>
      </c>
      <c r="AP285" s="3">
        <v>3</v>
      </c>
      <c r="AR285" s="2" t="s">
        <v>804</v>
      </c>
    </row>
    <row r="286" spans="1:44" ht="12.75" customHeight="1">
      <c r="A286" s="4">
        <f>DATE(62,5,22)</f>
        <v>22788</v>
      </c>
      <c r="B286" s="2" t="s">
        <v>152</v>
      </c>
      <c r="C286" s="2" t="s">
        <v>371</v>
      </c>
      <c r="E286" s="18">
        <v>0</v>
      </c>
      <c r="F286" s="18">
        <v>1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T286" s="3">
        <v>1</v>
      </c>
      <c r="U286" s="3">
        <v>3</v>
      </c>
      <c r="V286" s="3">
        <v>1</v>
      </c>
      <c r="X286" s="2" t="s">
        <v>788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N286" s="3">
        <v>0</v>
      </c>
      <c r="AO286" s="3">
        <v>4</v>
      </c>
      <c r="AP286" s="3">
        <v>2</v>
      </c>
      <c r="AR286" s="2" t="s">
        <v>805</v>
      </c>
    </row>
    <row r="287" ht="12.75" customHeight="1">
      <c r="A287" s="4"/>
    </row>
    <row r="288" spans="1:45" ht="12.75" customHeight="1">
      <c r="A288" s="4">
        <f>DATE(63,4,19)</f>
        <v>23120</v>
      </c>
      <c r="B288" s="2" t="s">
        <v>152</v>
      </c>
      <c r="C288" s="2" t="s">
        <v>169</v>
      </c>
      <c r="E288" s="18">
        <v>1</v>
      </c>
      <c r="F288" s="18">
        <v>2</v>
      </c>
      <c r="G288" s="18">
        <v>0</v>
      </c>
      <c r="H288" s="18">
        <v>0</v>
      </c>
      <c r="I288" s="18">
        <v>0</v>
      </c>
      <c r="J288" s="18">
        <v>5</v>
      </c>
      <c r="K288" s="18">
        <v>0</v>
      </c>
      <c r="T288" s="3">
        <v>8</v>
      </c>
      <c r="U288" s="3">
        <v>7</v>
      </c>
      <c r="V288" s="3">
        <v>2</v>
      </c>
      <c r="X288" s="2" t="s">
        <v>806</v>
      </c>
      <c r="Y288" s="18">
        <v>0</v>
      </c>
      <c r="Z288" s="18">
        <v>0</v>
      </c>
      <c r="AA288" s="18">
        <v>0</v>
      </c>
      <c r="AB288" s="18">
        <v>0</v>
      </c>
      <c r="AC288" s="18">
        <v>1</v>
      </c>
      <c r="AD288" s="18">
        <v>0</v>
      </c>
      <c r="AE288" s="18">
        <v>0</v>
      </c>
      <c r="AN288" s="3">
        <v>1</v>
      </c>
      <c r="AO288" s="3">
        <v>3</v>
      </c>
      <c r="AP288" s="3">
        <v>5</v>
      </c>
      <c r="AR288" s="2" t="s">
        <v>807</v>
      </c>
      <c r="AS288" s="2" t="s">
        <v>731</v>
      </c>
    </row>
    <row r="289" spans="1:47" ht="12.75" customHeight="1">
      <c r="A289" s="4">
        <f>DATE(63,4,22)</f>
        <v>23123</v>
      </c>
      <c r="B289" s="2" t="s">
        <v>152</v>
      </c>
      <c r="C289" s="2" t="s">
        <v>192</v>
      </c>
      <c r="E289" s="18">
        <v>1</v>
      </c>
      <c r="F289" s="18">
        <v>0</v>
      </c>
      <c r="G289" s="18">
        <v>0</v>
      </c>
      <c r="H289" s="18">
        <v>4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T289" s="3">
        <v>5</v>
      </c>
      <c r="U289" s="3">
        <v>9</v>
      </c>
      <c r="V289" s="3">
        <v>2</v>
      </c>
      <c r="X289" s="2" t="s">
        <v>808</v>
      </c>
      <c r="Y289" s="18">
        <v>0</v>
      </c>
      <c r="Z289" s="18">
        <v>2</v>
      </c>
      <c r="AA289" s="18">
        <v>1</v>
      </c>
      <c r="AB289" s="18">
        <v>0</v>
      </c>
      <c r="AC289" s="18">
        <v>0</v>
      </c>
      <c r="AD289" s="18">
        <v>0</v>
      </c>
      <c r="AE289" s="18">
        <v>2</v>
      </c>
      <c r="AF289" s="18">
        <v>0</v>
      </c>
      <c r="AG289" s="18">
        <v>1</v>
      </c>
      <c r="AN289" s="3">
        <v>6</v>
      </c>
      <c r="AO289" s="3">
        <v>6</v>
      </c>
      <c r="AP289" s="3">
        <v>4</v>
      </c>
      <c r="AR289" s="2" t="s">
        <v>809</v>
      </c>
      <c r="AS289" s="2" t="s">
        <v>155</v>
      </c>
      <c r="AT289" s="2" t="s">
        <v>180</v>
      </c>
      <c r="AU289" s="2" t="s">
        <v>177</v>
      </c>
    </row>
    <row r="290" spans="1:44" ht="12.75" customHeight="1">
      <c r="A290" s="4">
        <f>DATE(63,4,26)</f>
        <v>23127</v>
      </c>
      <c r="C290" s="2" t="s">
        <v>331</v>
      </c>
      <c r="E290" s="18">
        <v>0</v>
      </c>
      <c r="F290" s="18">
        <v>0</v>
      </c>
      <c r="G290" s="18">
        <v>0</v>
      </c>
      <c r="H290" s="18">
        <v>3</v>
      </c>
      <c r="I290" s="18">
        <v>0</v>
      </c>
      <c r="J290" s="18">
        <v>0</v>
      </c>
      <c r="K290" s="18">
        <v>2</v>
      </c>
      <c r="T290" s="3">
        <v>5</v>
      </c>
      <c r="U290" s="3">
        <v>10</v>
      </c>
      <c r="V290" s="3">
        <v>3</v>
      </c>
      <c r="X290" s="2" t="s">
        <v>810</v>
      </c>
      <c r="Y290" s="18">
        <v>0</v>
      </c>
      <c r="Z290" s="18">
        <v>0</v>
      </c>
      <c r="AA290" s="18">
        <v>0</v>
      </c>
      <c r="AB290" s="18">
        <v>3</v>
      </c>
      <c r="AC290" s="18">
        <v>2</v>
      </c>
      <c r="AD290" s="18">
        <v>0</v>
      </c>
      <c r="AE290" s="18">
        <v>1</v>
      </c>
      <c r="AN290" s="3">
        <v>6</v>
      </c>
      <c r="AO290" s="3">
        <v>4</v>
      </c>
      <c r="AP290" s="3">
        <v>1</v>
      </c>
      <c r="AR290" s="2" t="s">
        <v>811</v>
      </c>
    </row>
    <row r="291" spans="1:44" ht="12.75" customHeight="1">
      <c r="A291" s="4">
        <f>DATE(63,4,29)</f>
        <v>23130</v>
      </c>
      <c r="B291" s="2" t="s">
        <v>152</v>
      </c>
      <c r="C291" s="2" t="s">
        <v>236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2</v>
      </c>
      <c r="T291" s="3">
        <v>2</v>
      </c>
      <c r="U291" s="3">
        <v>7</v>
      </c>
      <c r="V291" s="3">
        <v>2</v>
      </c>
      <c r="X291" s="2" t="s">
        <v>812</v>
      </c>
      <c r="Y291" s="18">
        <v>0</v>
      </c>
      <c r="Z291" s="18">
        <v>0</v>
      </c>
      <c r="AA291" s="18">
        <v>1</v>
      </c>
      <c r="AB291" s="18">
        <v>3</v>
      </c>
      <c r="AC291" s="18">
        <v>0</v>
      </c>
      <c r="AD291" s="18">
        <v>0</v>
      </c>
      <c r="AE291" s="18" t="s">
        <v>162</v>
      </c>
      <c r="AN291" s="3">
        <v>4</v>
      </c>
      <c r="AO291" s="3">
        <v>5</v>
      </c>
      <c r="AP291" s="3">
        <v>6</v>
      </c>
      <c r="AR291" s="2" t="s">
        <v>813</v>
      </c>
    </row>
    <row r="292" spans="1:44" ht="12.75" customHeight="1">
      <c r="A292" s="4">
        <f>DATE(63,4,30)</f>
        <v>23131</v>
      </c>
      <c r="C292" s="2" t="s">
        <v>370</v>
      </c>
      <c r="E292" s="18">
        <v>0</v>
      </c>
      <c r="F292" s="18">
        <v>0</v>
      </c>
      <c r="G292" s="18">
        <v>0</v>
      </c>
      <c r="H292" s="18">
        <v>0</v>
      </c>
      <c r="I292" s="18">
        <v>1</v>
      </c>
      <c r="J292" s="18">
        <v>0</v>
      </c>
      <c r="K292" s="18">
        <v>0</v>
      </c>
      <c r="T292" s="3">
        <v>1</v>
      </c>
      <c r="U292" s="3">
        <v>6</v>
      </c>
      <c r="V292" s="3">
        <v>3</v>
      </c>
      <c r="X292" s="2" t="s">
        <v>814</v>
      </c>
      <c r="Y292" s="18">
        <v>0</v>
      </c>
      <c r="Z292" s="18">
        <v>0</v>
      </c>
      <c r="AA292" s="18">
        <v>0</v>
      </c>
      <c r="AB292" s="18">
        <v>2</v>
      </c>
      <c r="AC292" s="18">
        <v>0</v>
      </c>
      <c r="AD292" s="18">
        <v>0</v>
      </c>
      <c r="AE292" s="18">
        <v>0</v>
      </c>
      <c r="AN292" s="3">
        <v>2</v>
      </c>
      <c r="AO292" s="3">
        <v>1</v>
      </c>
      <c r="AP292" s="3">
        <v>0</v>
      </c>
      <c r="AR292" s="2" t="s">
        <v>815</v>
      </c>
    </row>
    <row r="293" spans="1:44" ht="12.75" customHeight="1">
      <c r="A293" s="4">
        <f>DATE(63,5,2)</f>
        <v>23133</v>
      </c>
      <c r="C293" s="2" t="s">
        <v>236</v>
      </c>
      <c r="E293" s="18">
        <v>0</v>
      </c>
      <c r="F293" s="18">
        <v>0</v>
      </c>
      <c r="G293" s="18">
        <v>1</v>
      </c>
      <c r="H293" s="18">
        <v>2</v>
      </c>
      <c r="I293" s="18">
        <v>1</v>
      </c>
      <c r="J293" s="18">
        <v>0</v>
      </c>
      <c r="K293" s="18">
        <v>0</v>
      </c>
      <c r="L293" s="18">
        <v>0</v>
      </c>
      <c r="T293" s="3">
        <v>4</v>
      </c>
      <c r="U293" s="3">
        <v>10</v>
      </c>
      <c r="V293" s="3">
        <v>5</v>
      </c>
      <c r="X293" s="2" t="s">
        <v>816</v>
      </c>
      <c r="Y293" s="18">
        <v>2</v>
      </c>
      <c r="Z293" s="18">
        <v>1</v>
      </c>
      <c r="AA293" s="18">
        <v>1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N293" s="3">
        <v>4</v>
      </c>
      <c r="AO293" s="3">
        <v>5</v>
      </c>
      <c r="AP293" s="3">
        <v>7</v>
      </c>
      <c r="AR293" s="2" t="s">
        <v>817</v>
      </c>
    </row>
    <row r="294" spans="1:44" ht="12.75" customHeight="1">
      <c r="A294" s="4">
        <f>DATE(63,5,3)</f>
        <v>23134</v>
      </c>
      <c r="B294" s="2" t="s">
        <v>152</v>
      </c>
      <c r="C294" s="2" t="s">
        <v>331</v>
      </c>
      <c r="E294" s="18">
        <v>5</v>
      </c>
      <c r="F294" s="18">
        <v>3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T294" s="3">
        <v>8</v>
      </c>
      <c r="U294" s="3">
        <v>15</v>
      </c>
      <c r="V294" s="3">
        <v>2</v>
      </c>
      <c r="X294" s="2" t="s">
        <v>818</v>
      </c>
      <c r="Y294" s="18">
        <v>0</v>
      </c>
      <c r="Z294" s="18">
        <v>2</v>
      </c>
      <c r="AA294" s="18">
        <v>0</v>
      </c>
      <c r="AB294" s="18">
        <v>4</v>
      </c>
      <c r="AC294" s="18">
        <v>0</v>
      </c>
      <c r="AD294" s="18">
        <v>1</v>
      </c>
      <c r="AE294" s="18">
        <v>2</v>
      </c>
      <c r="AN294" s="3">
        <v>9</v>
      </c>
      <c r="AO294" s="3">
        <v>4</v>
      </c>
      <c r="AP294" s="3">
        <v>3</v>
      </c>
      <c r="AR294" s="2" t="s">
        <v>819</v>
      </c>
    </row>
    <row r="295" spans="1:44" ht="12.75" customHeight="1">
      <c r="A295" s="4">
        <f>DATE(63,5,9)</f>
        <v>23140</v>
      </c>
      <c r="C295" s="2" t="s">
        <v>169</v>
      </c>
      <c r="E295" s="18">
        <v>1</v>
      </c>
      <c r="F295" s="18">
        <v>2</v>
      </c>
      <c r="G295" s="18">
        <v>0</v>
      </c>
      <c r="H295" s="18">
        <v>2</v>
      </c>
      <c r="I295" s="18">
        <v>0</v>
      </c>
      <c r="J295" s="18">
        <v>0</v>
      </c>
      <c r="K295" s="18" t="s">
        <v>162</v>
      </c>
      <c r="T295" s="3">
        <v>5</v>
      </c>
      <c r="U295" s="3">
        <v>7</v>
      </c>
      <c r="V295" s="3">
        <v>3</v>
      </c>
      <c r="X295" s="2" t="s">
        <v>820</v>
      </c>
      <c r="Y295" s="18">
        <v>0</v>
      </c>
      <c r="Z295" s="18">
        <v>0</v>
      </c>
      <c r="AA295" s="18">
        <v>0</v>
      </c>
      <c r="AB295" s="18">
        <v>2</v>
      </c>
      <c r="AC295" s="18">
        <v>0</v>
      </c>
      <c r="AD295" s="18">
        <v>0</v>
      </c>
      <c r="AE295" s="18">
        <v>0</v>
      </c>
      <c r="AN295" s="3">
        <v>2</v>
      </c>
      <c r="AO295" s="3">
        <v>4</v>
      </c>
      <c r="AP295" s="3">
        <v>4</v>
      </c>
      <c r="AR295" s="2" t="s">
        <v>821</v>
      </c>
    </row>
    <row r="296" spans="1:44" ht="12.75" customHeight="1">
      <c r="A296" s="4">
        <f>DATE(63,5,13)</f>
        <v>23144</v>
      </c>
      <c r="C296" s="2" t="s">
        <v>192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1</v>
      </c>
      <c r="K296" s="18">
        <v>0</v>
      </c>
      <c r="L296" s="18">
        <v>1</v>
      </c>
      <c r="T296" s="3">
        <v>2</v>
      </c>
      <c r="U296" s="3">
        <v>9</v>
      </c>
      <c r="V296" s="3">
        <v>4</v>
      </c>
      <c r="X296" s="2" t="s">
        <v>822</v>
      </c>
      <c r="Y296" s="18">
        <v>0</v>
      </c>
      <c r="Z296" s="18">
        <v>0</v>
      </c>
      <c r="AA296" s="18">
        <v>0</v>
      </c>
      <c r="AB296" s="18">
        <v>0</v>
      </c>
      <c r="AC296" s="18">
        <v>0</v>
      </c>
      <c r="AD296" s="18">
        <v>1</v>
      </c>
      <c r="AE296" s="18">
        <v>0</v>
      </c>
      <c r="AF296" s="18">
        <v>0</v>
      </c>
      <c r="AN296" s="3">
        <v>1</v>
      </c>
      <c r="AO296" s="3">
        <v>3</v>
      </c>
      <c r="AP296" s="3">
        <v>0</v>
      </c>
      <c r="AR296" s="2" t="s">
        <v>823</v>
      </c>
    </row>
    <row r="297" spans="1:44" ht="12.75" customHeight="1">
      <c r="A297" s="4">
        <f>DATE(63,5,15)</f>
        <v>23146</v>
      </c>
      <c r="B297" s="2" t="s">
        <v>152</v>
      </c>
      <c r="C297" s="2" t="s">
        <v>370</v>
      </c>
      <c r="E297" s="18">
        <v>0</v>
      </c>
      <c r="F297" s="18">
        <v>0</v>
      </c>
      <c r="G297" s="18">
        <v>0</v>
      </c>
      <c r="H297" s="18">
        <v>0</v>
      </c>
      <c r="I297" s="18">
        <v>3</v>
      </c>
      <c r="J297" s="18">
        <v>5</v>
      </c>
      <c r="K297" s="18">
        <v>0</v>
      </c>
      <c r="T297" s="3">
        <v>8</v>
      </c>
      <c r="U297" s="3">
        <v>8</v>
      </c>
      <c r="V297" s="3">
        <v>1</v>
      </c>
      <c r="X297" s="2" t="s">
        <v>806</v>
      </c>
      <c r="Y297" s="18"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N297" s="3">
        <v>0</v>
      </c>
      <c r="AO297" s="3">
        <v>2</v>
      </c>
      <c r="AP297" s="3">
        <v>4</v>
      </c>
      <c r="AR297" s="2" t="s">
        <v>824</v>
      </c>
    </row>
    <row r="298" spans="1:44" ht="12.75" customHeight="1">
      <c r="A298" s="4">
        <f>DATE(63,5,16)</f>
        <v>23147</v>
      </c>
      <c r="C298" s="2" t="s">
        <v>371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2</v>
      </c>
      <c r="K298" s="18">
        <v>2</v>
      </c>
      <c r="T298" s="3">
        <v>4</v>
      </c>
      <c r="U298" s="3">
        <v>8</v>
      </c>
      <c r="V298" s="3">
        <v>1</v>
      </c>
      <c r="X298" s="2" t="s">
        <v>820</v>
      </c>
      <c r="Y298" s="18">
        <v>1</v>
      </c>
      <c r="Z298" s="18">
        <v>0</v>
      </c>
      <c r="AA298" s="18">
        <v>0</v>
      </c>
      <c r="AB298" s="18">
        <v>0</v>
      </c>
      <c r="AC298" s="18">
        <v>0</v>
      </c>
      <c r="AD298" s="18">
        <v>2</v>
      </c>
      <c r="AE298" s="18">
        <v>0</v>
      </c>
      <c r="AN298" s="3">
        <v>3</v>
      </c>
      <c r="AO298" s="3">
        <v>3</v>
      </c>
      <c r="AP298" s="3">
        <v>5</v>
      </c>
      <c r="AR298" s="2" t="s">
        <v>825</v>
      </c>
    </row>
    <row r="299" spans="1:44" ht="12.75" customHeight="1">
      <c r="A299" s="4">
        <f>DATE(63,5,21)</f>
        <v>23152</v>
      </c>
      <c r="B299" s="2" t="s">
        <v>152</v>
      </c>
      <c r="C299" s="2" t="s">
        <v>371</v>
      </c>
      <c r="E299" s="18">
        <v>0</v>
      </c>
      <c r="F299" s="18">
        <v>1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T299" s="3">
        <v>1</v>
      </c>
      <c r="U299" s="3">
        <v>3</v>
      </c>
      <c r="V299" s="3">
        <v>3</v>
      </c>
      <c r="X299" s="2" t="s">
        <v>806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  <c r="AE299" s="18">
        <v>0</v>
      </c>
      <c r="AN299" s="3">
        <v>0</v>
      </c>
      <c r="AO299" s="3">
        <v>3</v>
      </c>
      <c r="AP299" s="3">
        <v>3</v>
      </c>
      <c r="AR299" s="2" t="s">
        <v>826</v>
      </c>
    </row>
    <row r="300" ht="12.75" customHeight="1">
      <c r="A300" s="4"/>
    </row>
    <row r="301" spans="1:45" ht="12.75" customHeight="1">
      <c r="A301" s="4">
        <f>DATE(64,4,15)</f>
        <v>23482</v>
      </c>
      <c r="B301" s="2" t="s">
        <v>237</v>
      </c>
      <c r="C301" s="2" t="s">
        <v>331</v>
      </c>
      <c r="E301" s="18">
        <v>0</v>
      </c>
      <c r="F301" s="18">
        <v>0</v>
      </c>
      <c r="G301" s="18">
        <v>0</v>
      </c>
      <c r="H301" s="18">
        <v>3</v>
      </c>
      <c r="I301" s="18">
        <v>2</v>
      </c>
      <c r="J301" s="18">
        <v>2</v>
      </c>
      <c r="K301" s="18">
        <v>6</v>
      </c>
      <c r="T301" s="3">
        <v>13</v>
      </c>
      <c r="U301" s="3">
        <v>13</v>
      </c>
      <c r="V301" s="3">
        <v>2</v>
      </c>
      <c r="X301" s="2" t="s">
        <v>820</v>
      </c>
      <c r="Y301" s="18">
        <v>0</v>
      </c>
      <c r="Z301" s="18">
        <v>0</v>
      </c>
      <c r="AA301" s="18">
        <v>0</v>
      </c>
      <c r="AB301" s="18">
        <v>0</v>
      </c>
      <c r="AC301" s="18">
        <v>2</v>
      </c>
      <c r="AD301" s="18">
        <v>1</v>
      </c>
      <c r="AE301" s="18">
        <v>0</v>
      </c>
      <c r="AN301" s="3">
        <v>3</v>
      </c>
      <c r="AO301" s="3">
        <v>4</v>
      </c>
      <c r="AP301" s="3">
        <v>5</v>
      </c>
      <c r="AR301" s="2" t="s">
        <v>827</v>
      </c>
      <c r="AS301" s="2" t="s">
        <v>731</v>
      </c>
    </row>
    <row r="302" spans="1:46" ht="12.75" customHeight="1">
      <c r="A302" s="4">
        <f>DATE(64,4,17)</f>
        <v>23484</v>
      </c>
      <c r="C302" s="2" t="s">
        <v>169</v>
      </c>
      <c r="E302" s="18">
        <v>0</v>
      </c>
      <c r="F302" s="18">
        <v>1</v>
      </c>
      <c r="G302" s="18">
        <v>1</v>
      </c>
      <c r="H302" s="18">
        <v>0</v>
      </c>
      <c r="I302" s="18">
        <v>0</v>
      </c>
      <c r="J302" s="18">
        <v>0</v>
      </c>
      <c r="K302" s="18">
        <v>1</v>
      </c>
      <c r="T302" s="3">
        <v>3</v>
      </c>
      <c r="U302" s="3">
        <v>4</v>
      </c>
      <c r="V302" s="3">
        <v>2</v>
      </c>
      <c r="X302" s="2" t="s">
        <v>828</v>
      </c>
      <c r="Y302" s="18">
        <v>2</v>
      </c>
      <c r="Z302" s="18">
        <v>0</v>
      </c>
      <c r="AA302" s="18">
        <v>0</v>
      </c>
      <c r="AB302" s="18">
        <v>1</v>
      </c>
      <c r="AC302" s="18">
        <v>1</v>
      </c>
      <c r="AD302" s="18">
        <v>0</v>
      </c>
      <c r="AE302" s="18">
        <v>0</v>
      </c>
      <c r="AN302" s="3">
        <v>4</v>
      </c>
      <c r="AO302" s="3">
        <v>4</v>
      </c>
      <c r="AP302" s="3">
        <v>3</v>
      </c>
      <c r="AR302" s="2" t="s">
        <v>798</v>
      </c>
      <c r="AS302" s="2" t="s">
        <v>190</v>
      </c>
      <c r="AT302" s="2" t="s">
        <v>181</v>
      </c>
    </row>
    <row r="303" spans="1:44" ht="12.75" customHeight="1">
      <c r="A303" s="4">
        <f>DATE(64,4,23)</f>
        <v>23490</v>
      </c>
      <c r="C303" s="2" t="s">
        <v>236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T303" s="3">
        <v>0</v>
      </c>
      <c r="U303" s="3">
        <v>3</v>
      </c>
      <c r="V303" s="3">
        <v>0</v>
      </c>
      <c r="X303" s="2" t="s">
        <v>829</v>
      </c>
      <c r="Y303" s="18">
        <v>0</v>
      </c>
      <c r="Z303" s="18">
        <v>1</v>
      </c>
      <c r="AA303" s="18">
        <v>0</v>
      </c>
      <c r="AB303" s="18">
        <v>1</v>
      </c>
      <c r="AC303" s="18">
        <v>2</v>
      </c>
      <c r="AD303" s="18">
        <v>1</v>
      </c>
      <c r="AE303" s="18" t="s">
        <v>162</v>
      </c>
      <c r="AN303" s="3">
        <v>5</v>
      </c>
      <c r="AO303" s="3">
        <v>9</v>
      </c>
      <c r="AP303" s="3">
        <v>0</v>
      </c>
      <c r="AR303" s="2" t="s">
        <v>830</v>
      </c>
    </row>
    <row r="304" spans="1:44" ht="12.75" customHeight="1">
      <c r="A304" s="4">
        <f>DATE(64,4,24)</f>
        <v>23491</v>
      </c>
      <c r="C304" s="2" t="s">
        <v>331</v>
      </c>
      <c r="E304" s="18">
        <v>2</v>
      </c>
      <c r="F304" s="18">
        <v>1</v>
      </c>
      <c r="G304" s="18">
        <v>0</v>
      </c>
      <c r="H304" s="18">
        <v>0</v>
      </c>
      <c r="I304" s="18">
        <v>1</v>
      </c>
      <c r="J304" s="18">
        <v>0</v>
      </c>
      <c r="K304" s="18">
        <v>0</v>
      </c>
      <c r="L304" s="18">
        <v>0</v>
      </c>
      <c r="T304" s="3">
        <v>4</v>
      </c>
      <c r="U304" s="3">
        <v>5</v>
      </c>
      <c r="V304" s="3">
        <v>3</v>
      </c>
      <c r="X304" s="2" t="s">
        <v>797</v>
      </c>
      <c r="Y304" s="18">
        <v>0</v>
      </c>
      <c r="Z304" s="18">
        <v>0</v>
      </c>
      <c r="AA304" s="18">
        <v>0</v>
      </c>
      <c r="AB304" s="18">
        <v>1</v>
      </c>
      <c r="AC304" s="18">
        <v>3</v>
      </c>
      <c r="AD304" s="18">
        <v>0</v>
      </c>
      <c r="AE304" s="18">
        <v>0</v>
      </c>
      <c r="AF304" s="18">
        <v>5</v>
      </c>
      <c r="AN304" s="3">
        <v>9</v>
      </c>
      <c r="AO304" s="3">
        <v>11</v>
      </c>
      <c r="AP304" s="3">
        <v>2</v>
      </c>
      <c r="AR304" s="2" t="s">
        <v>831</v>
      </c>
    </row>
    <row r="305" spans="1:44" ht="12.75" customHeight="1">
      <c r="A305" s="4">
        <f>DATE(64,4,28)</f>
        <v>23495</v>
      </c>
      <c r="B305" s="2" t="s">
        <v>152</v>
      </c>
      <c r="C305" s="2" t="s">
        <v>372</v>
      </c>
      <c r="E305" s="18">
        <v>4</v>
      </c>
      <c r="F305" s="18">
        <v>3</v>
      </c>
      <c r="G305" s="18">
        <v>0</v>
      </c>
      <c r="H305" s="18">
        <v>2</v>
      </c>
      <c r="I305" s="18">
        <v>1</v>
      </c>
      <c r="J305" s="18">
        <v>0</v>
      </c>
      <c r="K305" s="18">
        <v>0</v>
      </c>
      <c r="T305" s="3">
        <v>10</v>
      </c>
      <c r="U305" s="3">
        <v>15</v>
      </c>
      <c r="V305" s="3">
        <v>3</v>
      </c>
      <c r="X305" s="2" t="s">
        <v>832</v>
      </c>
      <c r="Y305" s="18">
        <v>1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  <c r="AE305" s="18">
        <v>3</v>
      </c>
      <c r="AN305" s="3">
        <v>4</v>
      </c>
      <c r="AO305" s="3">
        <v>8</v>
      </c>
      <c r="AP305" s="3">
        <v>7</v>
      </c>
      <c r="AR305" s="2" t="s">
        <v>833</v>
      </c>
    </row>
    <row r="306" spans="1:44" ht="12.75" customHeight="1">
      <c r="A306" s="4">
        <f>DATE(64,5,5)</f>
        <v>23502</v>
      </c>
      <c r="B306" s="2" t="s">
        <v>152</v>
      </c>
      <c r="C306" s="2" t="s">
        <v>169</v>
      </c>
      <c r="E306" s="18">
        <v>0</v>
      </c>
      <c r="F306" s="18">
        <v>0</v>
      </c>
      <c r="G306" s="18">
        <v>1</v>
      </c>
      <c r="H306" s="18">
        <v>0</v>
      </c>
      <c r="I306" s="18">
        <v>0</v>
      </c>
      <c r="J306" s="18">
        <v>0</v>
      </c>
      <c r="K306" s="18">
        <v>0</v>
      </c>
      <c r="T306" s="3">
        <v>1</v>
      </c>
      <c r="U306" s="3">
        <v>4</v>
      </c>
      <c r="V306" s="3">
        <v>2</v>
      </c>
      <c r="X306" s="2" t="s">
        <v>834</v>
      </c>
      <c r="Y306" s="18">
        <v>0</v>
      </c>
      <c r="Z306" s="18">
        <v>0</v>
      </c>
      <c r="AA306" s="18">
        <v>4</v>
      </c>
      <c r="AB306" s="18">
        <v>2</v>
      </c>
      <c r="AC306" s="18">
        <v>1</v>
      </c>
      <c r="AD306" s="18">
        <v>1</v>
      </c>
      <c r="AE306" s="18" t="s">
        <v>162</v>
      </c>
      <c r="AN306" s="3">
        <v>8</v>
      </c>
      <c r="AO306" s="3">
        <v>8</v>
      </c>
      <c r="AP306" s="3">
        <v>3</v>
      </c>
      <c r="AR306" s="2" t="s">
        <v>798</v>
      </c>
    </row>
    <row r="307" spans="1:44" ht="12.75" customHeight="1">
      <c r="A307" s="4">
        <f>DATE(64,5,7)</f>
        <v>23504</v>
      </c>
      <c r="C307" s="2" t="s">
        <v>372</v>
      </c>
      <c r="E307" s="18">
        <v>2</v>
      </c>
      <c r="F307" s="18">
        <v>2</v>
      </c>
      <c r="G307" s="18">
        <v>1</v>
      </c>
      <c r="H307" s="18">
        <v>1</v>
      </c>
      <c r="I307" s="18">
        <v>0</v>
      </c>
      <c r="J307" s="18">
        <v>0</v>
      </c>
      <c r="K307" s="18" t="s">
        <v>162</v>
      </c>
      <c r="T307" s="3">
        <v>6</v>
      </c>
      <c r="U307" s="3">
        <v>9</v>
      </c>
      <c r="V307" s="3">
        <v>2</v>
      </c>
      <c r="X307" s="2" t="s">
        <v>835</v>
      </c>
      <c r="Y307" s="18">
        <v>2</v>
      </c>
      <c r="Z307" s="18">
        <v>0</v>
      </c>
      <c r="AA307" s="18">
        <v>3</v>
      </c>
      <c r="AB307" s="18">
        <v>0</v>
      </c>
      <c r="AC307" s="18">
        <v>0</v>
      </c>
      <c r="AD307" s="18">
        <v>0</v>
      </c>
      <c r="AE307" s="18">
        <v>0</v>
      </c>
      <c r="AN307" s="3">
        <v>5</v>
      </c>
      <c r="AO307" s="3">
        <v>8</v>
      </c>
      <c r="AP307" s="3">
        <v>2</v>
      </c>
      <c r="AR307" s="2" t="s">
        <v>836</v>
      </c>
    </row>
    <row r="308" spans="1:44" ht="12.75" customHeight="1">
      <c r="A308" s="4">
        <f>DATE(64,5,12)</f>
        <v>23509</v>
      </c>
      <c r="C308" s="2" t="s">
        <v>371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T308" s="3">
        <v>0</v>
      </c>
      <c r="U308" s="3">
        <v>5</v>
      </c>
      <c r="V308" s="3">
        <v>3</v>
      </c>
      <c r="X308" s="2" t="s">
        <v>820</v>
      </c>
      <c r="Y308" s="18">
        <v>0</v>
      </c>
      <c r="Z308" s="18">
        <v>1</v>
      </c>
      <c r="AA308" s="18">
        <v>0</v>
      </c>
      <c r="AB308" s="18">
        <v>0</v>
      </c>
      <c r="AC308" s="18">
        <v>2</v>
      </c>
      <c r="AD308" s="18">
        <v>0</v>
      </c>
      <c r="AE308" s="18">
        <v>0</v>
      </c>
      <c r="AN308" s="3">
        <v>3</v>
      </c>
      <c r="AO308" s="3">
        <v>4</v>
      </c>
      <c r="AP308" s="3">
        <v>0</v>
      </c>
      <c r="AR308" s="2" t="s">
        <v>837</v>
      </c>
    </row>
    <row r="309" spans="1:44" ht="12.75" customHeight="1">
      <c r="A309" s="4">
        <f>DATE(64,5,15)</f>
        <v>23512</v>
      </c>
      <c r="B309" s="2" t="s">
        <v>152</v>
      </c>
      <c r="C309" s="2" t="s">
        <v>371</v>
      </c>
      <c r="E309" s="18">
        <v>0</v>
      </c>
      <c r="F309" s="18">
        <v>1</v>
      </c>
      <c r="G309" s="18">
        <v>1</v>
      </c>
      <c r="H309" s="18">
        <v>0</v>
      </c>
      <c r="I309" s="18">
        <v>0</v>
      </c>
      <c r="J309" s="18">
        <v>1</v>
      </c>
      <c r="T309" s="3">
        <v>3</v>
      </c>
      <c r="U309" s="3">
        <v>8</v>
      </c>
      <c r="V309" s="3">
        <v>1</v>
      </c>
      <c r="X309" s="2" t="s">
        <v>793</v>
      </c>
      <c r="Y309" s="18">
        <v>1</v>
      </c>
      <c r="Z309" s="18">
        <v>0</v>
      </c>
      <c r="AA309" s="18">
        <v>0</v>
      </c>
      <c r="AB309" s="18">
        <v>0</v>
      </c>
      <c r="AC309" s="18">
        <v>1</v>
      </c>
      <c r="AD309" s="18">
        <v>0</v>
      </c>
      <c r="AN309" s="3">
        <v>2</v>
      </c>
      <c r="AO309" s="3">
        <v>7</v>
      </c>
      <c r="AP309" s="3">
        <v>0</v>
      </c>
      <c r="AR309" s="2" t="s">
        <v>838</v>
      </c>
    </row>
    <row r="310" spans="1:44" ht="12.75" customHeight="1">
      <c r="A310" s="4">
        <f>DATE(64,5,18)</f>
        <v>23515</v>
      </c>
      <c r="C310" s="2" t="s">
        <v>236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T310" s="3">
        <v>0</v>
      </c>
      <c r="U310" s="3">
        <v>6</v>
      </c>
      <c r="V310" s="3">
        <v>0</v>
      </c>
      <c r="X310" s="2" t="s">
        <v>816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1</v>
      </c>
      <c r="AN310" s="3">
        <v>1</v>
      </c>
      <c r="AO310" s="3">
        <v>6</v>
      </c>
      <c r="AP310" s="3">
        <v>0</v>
      </c>
      <c r="AR310" s="2" t="s">
        <v>238</v>
      </c>
    </row>
    <row r="311" ht="12.75" customHeight="1">
      <c r="A311" s="4"/>
    </row>
    <row r="312" spans="1:45" ht="12.75" customHeight="1">
      <c r="A312" s="4">
        <f>DATE(65,4,8)</f>
        <v>23840</v>
      </c>
      <c r="B312" s="2" t="s">
        <v>152</v>
      </c>
      <c r="C312" s="2" t="s">
        <v>236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T312" s="3">
        <v>0</v>
      </c>
      <c r="U312" s="3">
        <v>0</v>
      </c>
      <c r="V312" s="3">
        <v>7</v>
      </c>
      <c r="X312" s="2" t="s">
        <v>839</v>
      </c>
      <c r="Y312" s="18">
        <v>0</v>
      </c>
      <c r="Z312" s="18">
        <v>2</v>
      </c>
      <c r="AA312" s="18">
        <v>0</v>
      </c>
      <c r="AB312" s="18">
        <v>2</v>
      </c>
      <c r="AC312" s="18">
        <v>0</v>
      </c>
      <c r="AD312" s="18">
        <v>0</v>
      </c>
      <c r="AE312" s="18" t="s">
        <v>162</v>
      </c>
      <c r="AN312" s="3">
        <v>4</v>
      </c>
      <c r="AO312" s="3">
        <v>3</v>
      </c>
      <c r="AP312" s="3">
        <v>0</v>
      </c>
      <c r="AR312" s="2" t="s">
        <v>840</v>
      </c>
      <c r="AS312" s="2" t="s">
        <v>731</v>
      </c>
    </row>
    <row r="313" spans="1:46" ht="12.75" customHeight="1">
      <c r="A313" s="4">
        <f>DATE(65,4,14)</f>
        <v>23846</v>
      </c>
      <c r="C313" s="2" t="s">
        <v>331</v>
      </c>
      <c r="E313" s="18">
        <v>0</v>
      </c>
      <c r="F313" s="18">
        <v>0</v>
      </c>
      <c r="G313" s="18">
        <v>0</v>
      </c>
      <c r="H313" s="18">
        <v>1</v>
      </c>
      <c r="I313" s="18">
        <v>0</v>
      </c>
      <c r="J313" s="18">
        <v>1</v>
      </c>
      <c r="K313" s="18">
        <v>0</v>
      </c>
      <c r="L313" s="18">
        <v>0</v>
      </c>
      <c r="M313" s="18">
        <v>0</v>
      </c>
      <c r="N313" s="18">
        <v>1</v>
      </c>
      <c r="T313" s="3">
        <v>3</v>
      </c>
      <c r="U313" s="3">
        <v>7</v>
      </c>
      <c r="V313" s="3">
        <v>2</v>
      </c>
      <c r="X313" s="2" t="s">
        <v>841</v>
      </c>
      <c r="Y313" s="18">
        <v>0</v>
      </c>
      <c r="Z313" s="18">
        <v>0</v>
      </c>
      <c r="AA313" s="18">
        <v>0</v>
      </c>
      <c r="AB313" s="18">
        <v>1</v>
      </c>
      <c r="AC313" s="18">
        <v>1</v>
      </c>
      <c r="AD313" s="18">
        <v>0</v>
      </c>
      <c r="AE313" s="18">
        <v>0</v>
      </c>
      <c r="AF313" s="18">
        <v>0</v>
      </c>
      <c r="AG313" s="18">
        <v>0</v>
      </c>
      <c r="AN313" s="3">
        <v>2</v>
      </c>
      <c r="AO313" s="3">
        <v>9</v>
      </c>
      <c r="AP313" s="3">
        <v>4</v>
      </c>
      <c r="AR313" s="2" t="s">
        <v>842</v>
      </c>
      <c r="AS313" s="2" t="s">
        <v>155</v>
      </c>
      <c r="AT313" s="2" t="s">
        <v>181</v>
      </c>
    </row>
    <row r="314" spans="1:44" ht="12.75" customHeight="1">
      <c r="A314" s="4">
        <f>DATE(65,4,27)</f>
        <v>23859</v>
      </c>
      <c r="C314" s="2" t="s">
        <v>372</v>
      </c>
      <c r="E314" s="18">
        <v>3</v>
      </c>
      <c r="F314" s="18">
        <v>0</v>
      </c>
      <c r="G314" s="18">
        <v>1</v>
      </c>
      <c r="H314" s="18">
        <v>4</v>
      </c>
      <c r="I314" s="18">
        <v>0</v>
      </c>
      <c r="J314" s="18">
        <v>1</v>
      </c>
      <c r="K314" s="18" t="s">
        <v>162</v>
      </c>
      <c r="T314" s="3">
        <v>9</v>
      </c>
      <c r="U314" s="3">
        <v>6</v>
      </c>
      <c r="V314" s="3">
        <v>4</v>
      </c>
      <c r="X314" s="2" t="s">
        <v>843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1</v>
      </c>
      <c r="AE314" s="18">
        <v>1</v>
      </c>
      <c r="AN314" s="3">
        <v>2</v>
      </c>
      <c r="AO314" s="3">
        <v>6</v>
      </c>
      <c r="AP314" s="3">
        <v>6</v>
      </c>
      <c r="AR314" s="2" t="s">
        <v>844</v>
      </c>
    </row>
    <row r="315" spans="1:44" ht="12.75" customHeight="1">
      <c r="A315" s="4">
        <f>DATE(65,4,29)</f>
        <v>23861</v>
      </c>
      <c r="B315" s="2" t="s">
        <v>152</v>
      </c>
      <c r="C315" s="2" t="s">
        <v>169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6</v>
      </c>
      <c r="T315" s="3">
        <v>6</v>
      </c>
      <c r="U315" s="3">
        <v>3</v>
      </c>
      <c r="V315" s="3">
        <v>2</v>
      </c>
      <c r="X315" s="2" t="s">
        <v>845</v>
      </c>
      <c r="Y315" s="18">
        <v>3</v>
      </c>
      <c r="Z315" s="18">
        <v>0</v>
      </c>
      <c r="AA315" s="18">
        <v>1</v>
      </c>
      <c r="AB315" s="18">
        <v>1</v>
      </c>
      <c r="AC315" s="18">
        <v>0</v>
      </c>
      <c r="AD315" s="18">
        <v>3</v>
      </c>
      <c r="AE315" s="18" t="s">
        <v>162</v>
      </c>
      <c r="AN315" s="3">
        <v>8</v>
      </c>
      <c r="AO315" s="3">
        <v>12</v>
      </c>
      <c r="AP315" s="3">
        <v>1</v>
      </c>
      <c r="AR315" s="2" t="s">
        <v>798</v>
      </c>
    </row>
    <row r="316" spans="1:44" ht="12.75" customHeight="1">
      <c r="A316" s="4">
        <f>DATE(65,5,4)</f>
        <v>23866</v>
      </c>
      <c r="C316" s="2" t="s">
        <v>169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2</v>
      </c>
      <c r="K316" s="18">
        <v>0</v>
      </c>
      <c r="T316" s="3">
        <v>2</v>
      </c>
      <c r="U316" s="3">
        <v>4</v>
      </c>
      <c r="V316" s="3">
        <v>5</v>
      </c>
      <c r="X316" s="2" t="s">
        <v>846</v>
      </c>
      <c r="Y316" s="18">
        <v>1</v>
      </c>
      <c r="Z316" s="18">
        <v>0</v>
      </c>
      <c r="AA316" s="18">
        <v>1</v>
      </c>
      <c r="AB316" s="18">
        <v>0</v>
      </c>
      <c r="AC316" s="18">
        <v>3</v>
      </c>
      <c r="AD316" s="18">
        <v>0</v>
      </c>
      <c r="AE316" s="18">
        <v>2</v>
      </c>
      <c r="AN316" s="3">
        <v>7</v>
      </c>
      <c r="AO316" s="3">
        <v>7</v>
      </c>
      <c r="AP316" s="3">
        <v>3</v>
      </c>
      <c r="AR316" s="2" t="s">
        <v>798</v>
      </c>
    </row>
    <row r="317" spans="1:44" ht="12.75" customHeight="1">
      <c r="A317" s="4">
        <f>DATE(65,5,6)</f>
        <v>23868</v>
      </c>
      <c r="C317" s="2" t="s">
        <v>236</v>
      </c>
      <c r="E317" s="18">
        <v>0</v>
      </c>
      <c r="F317" s="18">
        <v>0</v>
      </c>
      <c r="G317" s="18">
        <v>0</v>
      </c>
      <c r="H317" s="18">
        <v>1</v>
      </c>
      <c r="I317" s="18">
        <v>2</v>
      </c>
      <c r="J317" s="18">
        <v>0</v>
      </c>
      <c r="K317" s="18">
        <v>0</v>
      </c>
      <c r="T317" s="3">
        <v>3</v>
      </c>
      <c r="U317" s="3">
        <v>7</v>
      </c>
      <c r="V317" s="3">
        <v>7</v>
      </c>
      <c r="X317" s="2" t="s">
        <v>847</v>
      </c>
      <c r="Y317" s="18">
        <v>3</v>
      </c>
      <c r="Z317" s="18">
        <v>0</v>
      </c>
      <c r="AA317" s="18">
        <v>1</v>
      </c>
      <c r="AB317" s="18">
        <v>2</v>
      </c>
      <c r="AC317" s="18">
        <v>1</v>
      </c>
      <c r="AD317" s="18">
        <v>0</v>
      </c>
      <c r="AE317" s="18">
        <v>4</v>
      </c>
      <c r="AN317" s="3">
        <v>11</v>
      </c>
      <c r="AO317" s="3">
        <v>15</v>
      </c>
      <c r="AP317" s="3">
        <v>0</v>
      </c>
      <c r="AR317" s="2" t="s">
        <v>848</v>
      </c>
    </row>
    <row r="318" spans="1:44" ht="12.75" customHeight="1">
      <c r="A318" s="4">
        <f>DATE(65,5,11)</f>
        <v>23873</v>
      </c>
      <c r="C318" s="2" t="s">
        <v>371</v>
      </c>
      <c r="E318" s="18">
        <v>3</v>
      </c>
      <c r="F318" s="18">
        <v>0</v>
      </c>
      <c r="G318" s="18">
        <v>1</v>
      </c>
      <c r="H318" s="18">
        <v>3</v>
      </c>
      <c r="I318" s="18">
        <v>0</v>
      </c>
      <c r="J318" s="18">
        <v>0</v>
      </c>
      <c r="K318" s="18" t="s">
        <v>162</v>
      </c>
      <c r="T318" s="3">
        <v>7</v>
      </c>
      <c r="U318" s="3">
        <v>7</v>
      </c>
      <c r="V318" s="3">
        <v>1</v>
      </c>
      <c r="X318" s="2" t="s">
        <v>846</v>
      </c>
      <c r="Y318" s="18">
        <v>2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N318" s="3">
        <v>2</v>
      </c>
      <c r="AO318" s="3">
        <v>3</v>
      </c>
      <c r="AP318" s="3">
        <v>3</v>
      </c>
      <c r="AR318" s="2" t="s">
        <v>849</v>
      </c>
    </row>
    <row r="319" spans="1:44" ht="12.75" customHeight="1">
      <c r="A319" s="4">
        <f>DATE(65,5,13)</f>
        <v>23875</v>
      </c>
      <c r="B319" s="2" t="s">
        <v>152</v>
      </c>
      <c r="C319" s="2" t="s">
        <v>372</v>
      </c>
      <c r="E319" s="18">
        <v>2</v>
      </c>
      <c r="F319" s="18">
        <v>0</v>
      </c>
      <c r="G319" s="18">
        <v>4</v>
      </c>
      <c r="H319" s="18">
        <v>1</v>
      </c>
      <c r="I319" s="18">
        <v>1</v>
      </c>
      <c r="J319" s="18">
        <v>0</v>
      </c>
      <c r="K319" s="18">
        <v>1</v>
      </c>
      <c r="T319" s="3">
        <v>9</v>
      </c>
      <c r="U319" s="3">
        <v>12</v>
      </c>
      <c r="V319" s="3">
        <v>3</v>
      </c>
      <c r="X319" s="2" t="s">
        <v>850</v>
      </c>
      <c r="Y319" s="18">
        <v>2</v>
      </c>
      <c r="Z319" s="18">
        <v>0</v>
      </c>
      <c r="AA319" s="18">
        <v>0</v>
      </c>
      <c r="AB319" s="18">
        <v>0</v>
      </c>
      <c r="AC319" s="18">
        <v>1</v>
      </c>
      <c r="AD319" s="18">
        <v>0</v>
      </c>
      <c r="AE319" s="18">
        <v>3</v>
      </c>
      <c r="AN319" s="3">
        <v>6</v>
      </c>
      <c r="AO319" s="3">
        <v>10</v>
      </c>
      <c r="AP319" s="3">
        <v>3</v>
      </c>
      <c r="AR319" s="2" t="s">
        <v>851</v>
      </c>
    </row>
    <row r="320" spans="1:44" ht="12.75" customHeight="1">
      <c r="A320" s="4">
        <f>DATE(65,5,18)</f>
        <v>23880</v>
      </c>
      <c r="B320" s="2" t="s">
        <v>152</v>
      </c>
      <c r="C320" s="2" t="s">
        <v>371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1</v>
      </c>
      <c r="K320" s="18">
        <v>0</v>
      </c>
      <c r="T320" s="3">
        <v>1</v>
      </c>
      <c r="U320" s="3">
        <v>3</v>
      </c>
      <c r="V320" s="3">
        <v>3</v>
      </c>
      <c r="X320" s="2" t="s">
        <v>839</v>
      </c>
      <c r="Y320" s="18">
        <v>1</v>
      </c>
      <c r="Z320" s="18">
        <v>0</v>
      </c>
      <c r="AA320" s="18">
        <v>0</v>
      </c>
      <c r="AB320" s="18">
        <v>0</v>
      </c>
      <c r="AC320" s="18">
        <v>2</v>
      </c>
      <c r="AD320" s="18">
        <v>1</v>
      </c>
      <c r="AE320" s="18" t="s">
        <v>162</v>
      </c>
      <c r="AN320" s="3">
        <v>4</v>
      </c>
      <c r="AO320" s="3">
        <v>9</v>
      </c>
      <c r="AP320" s="3">
        <v>0</v>
      </c>
      <c r="AR320" s="2" t="s">
        <v>852</v>
      </c>
    </row>
    <row r="321" spans="1:44" ht="12.75" customHeight="1">
      <c r="A321" s="4">
        <f>DATE(65,5,20)</f>
        <v>23882</v>
      </c>
      <c r="B321" s="2" t="s">
        <v>152</v>
      </c>
      <c r="C321" s="2" t="s">
        <v>331</v>
      </c>
      <c r="E321" s="18">
        <v>4</v>
      </c>
      <c r="F321" s="18">
        <v>2</v>
      </c>
      <c r="G321" s="18">
        <v>5</v>
      </c>
      <c r="H321" s="18">
        <v>0</v>
      </c>
      <c r="I321" s="18">
        <v>1</v>
      </c>
      <c r="J321" s="18">
        <v>0</v>
      </c>
      <c r="K321" s="18">
        <v>9</v>
      </c>
      <c r="T321" s="3">
        <v>21</v>
      </c>
      <c r="U321" s="3">
        <v>17</v>
      </c>
      <c r="V321" s="3">
        <v>5</v>
      </c>
      <c r="X321" s="2" t="s">
        <v>845</v>
      </c>
      <c r="Y321" s="18">
        <v>3</v>
      </c>
      <c r="Z321" s="18">
        <v>1</v>
      </c>
      <c r="AA321" s="18">
        <v>2</v>
      </c>
      <c r="AB321" s="18">
        <v>0</v>
      </c>
      <c r="AC321" s="18">
        <v>0</v>
      </c>
      <c r="AD321" s="18">
        <v>1</v>
      </c>
      <c r="AE321" s="18">
        <v>0</v>
      </c>
      <c r="AN321" s="3">
        <v>7</v>
      </c>
      <c r="AO321" s="3">
        <v>9</v>
      </c>
      <c r="AP321" s="3">
        <v>1</v>
      </c>
      <c r="AR321" s="2" t="s">
        <v>853</v>
      </c>
    </row>
    <row r="322" spans="1:44" ht="12.75" customHeight="1">
      <c r="A322" s="4">
        <f>DATE(65,5,26)</f>
        <v>23888</v>
      </c>
      <c r="B322" s="2" t="s">
        <v>239</v>
      </c>
      <c r="C322" s="2" t="s">
        <v>331</v>
      </c>
      <c r="D322" s="2" t="s">
        <v>240</v>
      </c>
      <c r="E322" s="18">
        <v>0</v>
      </c>
      <c r="F322" s="18">
        <v>1</v>
      </c>
      <c r="G322" s="18">
        <v>5</v>
      </c>
      <c r="H322" s="18">
        <v>1</v>
      </c>
      <c r="I322" s="18">
        <v>0</v>
      </c>
      <c r="J322" s="18">
        <v>0</v>
      </c>
      <c r="K322" s="18">
        <v>0</v>
      </c>
      <c r="T322" s="3">
        <v>7</v>
      </c>
      <c r="U322" s="3">
        <v>8</v>
      </c>
      <c r="V322" s="3">
        <v>4</v>
      </c>
      <c r="X322" s="2" t="s">
        <v>845</v>
      </c>
      <c r="Y322" s="18">
        <v>0</v>
      </c>
      <c r="Z322" s="18">
        <v>2</v>
      </c>
      <c r="AA322" s="18">
        <v>1</v>
      </c>
      <c r="AB322" s="18">
        <v>0</v>
      </c>
      <c r="AC322" s="18">
        <v>0</v>
      </c>
      <c r="AD322" s="18">
        <v>0</v>
      </c>
      <c r="AE322" s="18">
        <v>0</v>
      </c>
      <c r="AN322" s="3">
        <v>3</v>
      </c>
      <c r="AO322" s="3">
        <v>7</v>
      </c>
      <c r="AP322" s="3">
        <v>1</v>
      </c>
      <c r="AR322" s="2" t="s">
        <v>854</v>
      </c>
    </row>
    <row r="323" spans="1:44" ht="12.75" customHeight="1">
      <c r="A323" s="4">
        <f>DATE(65,5,30)</f>
        <v>23892</v>
      </c>
      <c r="B323" s="2" t="s">
        <v>239</v>
      </c>
      <c r="C323" s="2" t="s">
        <v>169</v>
      </c>
      <c r="D323" s="2" t="s">
        <v>240</v>
      </c>
      <c r="E323" s="18">
        <v>0</v>
      </c>
      <c r="F323" s="18">
        <v>0</v>
      </c>
      <c r="G323" s="18">
        <v>0</v>
      </c>
      <c r="H323" s="18">
        <v>2</v>
      </c>
      <c r="I323" s="18">
        <v>0</v>
      </c>
      <c r="J323" s="18">
        <v>0</v>
      </c>
      <c r="K323" s="18">
        <v>0</v>
      </c>
      <c r="T323" s="3">
        <v>2</v>
      </c>
      <c r="U323" s="3">
        <v>2</v>
      </c>
      <c r="V323" s="3">
        <v>5</v>
      </c>
      <c r="X323" s="2" t="s">
        <v>855</v>
      </c>
      <c r="Y323" s="18">
        <v>1</v>
      </c>
      <c r="Z323" s="18">
        <v>7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N323" s="3">
        <v>8</v>
      </c>
      <c r="AO323" s="3">
        <v>6</v>
      </c>
      <c r="AP323" s="3">
        <v>3</v>
      </c>
      <c r="AR323" s="2" t="s">
        <v>798</v>
      </c>
    </row>
    <row r="324" ht="12.75" customHeight="1">
      <c r="A324" s="4"/>
    </row>
    <row r="325" spans="1:45" ht="12.75" customHeight="1">
      <c r="A325" s="4">
        <f>DATE(66,4,14)</f>
        <v>24211</v>
      </c>
      <c r="B325" s="2" t="s">
        <v>152</v>
      </c>
      <c r="C325" s="2" t="s">
        <v>331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T325" s="3">
        <v>0</v>
      </c>
      <c r="U325" s="3">
        <v>4</v>
      </c>
      <c r="V325" s="3">
        <v>0</v>
      </c>
      <c r="X325" s="2" t="s">
        <v>856</v>
      </c>
      <c r="Y325" s="18">
        <v>2</v>
      </c>
      <c r="Z325" s="18">
        <v>1</v>
      </c>
      <c r="AA325" s="18">
        <v>0</v>
      </c>
      <c r="AB325" s="18">
        <v>2</v>
      </c>
      <c r="AC325" s="18">
        <v>0</v>
      </c>
      <c r="AD325" s="18">
        <v>1</v>
      </c>
      <c r="AE325" s="18" t="s">
        <v>162</v>
      </c>
      <c r="AN325" s="3">
        <v>6</v>
      </c>
      <c r="AO325" s="3">
        <v>10</v>
      </c>
      <c r="AP325" s="3">
        <v>3</v>
      </c>
      <c r="AR325" s="2" t="s">
        <v>857</v>
      </c>
      <c r="AS325" s="2" t="s">
        <v>731</v>
      </c>
    </row>
    <row r="326" spans="1:46" ht="12.75" customHeight="1">
      <c r="A326" s="4">
        <f>DATE(66,4,21)</f>
        <v>24218</v>
      </c>
      <c r="B326" s="2" t="s">
        <v>152</v>
      </c>
      <c r="C326" s="2" t="s">
        <v>241</v>
      </c>
      <c r="E326" s="18">
        <v>4</v>
      </c>
      <c r="F326" s="18">
        <v>5</v>
      </c>
      <c r="G326" s="18">
        <v>0</v>
      </c>
      <c r="H326" s="18">
        <v>1</v>
      </c>
      <c r="I326" s="18">
        <v>4</v>
      </c>
      <c r="T326" s="3">
        <v>14</v>
      </c>
      <c r="U326" s="3">
        <v>15</v>
      </c>
      <c r="V326" s="3">
        <v>1</v>
      </c>
      <c r="X326" s="2" t="s">
        <v>850</v>
      </c>
      <c r="Y326" s="18">
        <v>0</v>
      </c>
      <c r="Z326" s="18">
        <v>2</v>
      </c>
      <c r="AA326" s="18">
        <v>1</v>
      </c>
      <c r="AB326" s="18">
        <v>0</v>
      </c>
      <c r="AC326" s="18">
        <v>0</v>
      </c>
      <c r="AN326" s="3">
        <v>3</v>
      </c>
      <c r="AO326" s="3">
        <v>9</v>
      </c>
      <c r="AP326" s="3">
        <v>6</v>
      </c>
      <c r="AR326" s="2" t="s">
        <v>858</v>
      </c>
      <c r="AS326" s="2" t="s">
        <v>193</v>
      </c>
      <c r="AT326" s="2" t="s">
        <v>156</v>
      </c>
    </row>
    <row r="327" spans="1:44" ht="12.75" customHeight="1">
      <c r="A327" s="4">
        <f>DATE(66,5,3)</f>
        <v>24230</v>
      </c>
      <c r="B327" s="2" t="s">
        <v>152</v>
      </c>
      <c r="C327" s="2" t="s">
        <v>169</v>
      </c>
      <c r="E327" s="18">
        <v>0</v>
      </c>
      <c r="F327" s="18">
        <v>0</v>
      </c>
      <c r="G327" s="18">
        <v>0</v>
      </c>
      <c r="H327" s="18">
        <v>0</v>
      </c>
      <c r="I327" s="18">
        <v>2</v>
      </c>
      <c r="J327" s="18">
        <v>2</v>
      </c>
      <c r="K327" s="18">
        <v>0</v>
      </c>
      <c r="L327" s="18">
        <v>3</v>
      </c>
      <c r="T327" s="3">
        <v>7</v>
      </c>
      <c r="U327" s="3">
        <v>7</v>
      </c>
      <c r="V327" s="3">
        <v>3</v>
      </c>
      <c r="X327" s="2" t="s">
        <v>846</v>
      </c>
      <c r="Y327" s="18">
        <v>0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  <c r="AE327" s="18">
        <v>4</v>
      </c>
      <c r="AF327" s="18">
        <v>1</v>
      </c>
      <c r="AN327" s="3">
        <v>5</v>
      </c>
      <c r="AO327" s="3">
        <v>6</v>
      </c>
      <c r="AP327" s="3">
        <v>4</v>
      </c>
      <c r="AR327" s="2" t="s">
        <v>859</v>
      </c>
    </row>
    <row r="328" spans="1:44" ht="12.75" customHeight="1">
      <c r="A328" s="4">
        <f>DATE(66,5,5)</f>
        <v>24232</v>
      </c>
      <c r="C328" s="2" t="s">
        <v>236</v>
      </c>
      <c r="E328" s="18">
        <v>0</v>
      </c>
      <c r="F328" s="18">
        <v>1</v>
      </c>
      <c r="G328" s="18">
        <v>0</v>
      </c>
      <c r="H328" s="18">
        <v>5</v>
      </c>
      <c r="I328" s="18">
        <v>0</v>
      </c>
      <c r="J328" s="18">
        <v>0</v>
      </c>
      <c r="K328" s="18" t="s">
        <v>162</v>
      </c>
      <c r="T328" s="3">
        <v>6</v>
      </c>
      <c r="U328" s="3">
        <v>3</v>
      </c>
      <c r="V328" s="3">
        <v>5</v>
      </c>
      <c r="X328" s="2" t="s">
        <v>865</v>
      </c>
      <c r="Y328" s="18">
        <v>1</v>
      </c>
      <c r="Z328" s="18">
        <v>0</v>
      </c>
      <c r="AA328" s="18">
        <v>0</v>
      </c>
      <c r="AB328" s="18">
        <v>0</v>
      </c>
      <c r="AC328" s="18">
        <v>2</v>
      </c>
      <c r="AD328" s="18">
        <v>1</v>
      </c>
      <c r="AE328" s="18">
        <v>0</v>
      </c>
      <c r="AN328" s="3">
        <v>4</v>
      </c>
      <c r="AO328" s="3">
        <v>6</v>
      </c>
      <c r="AP328" s="3">
        <v>6</v>
      </c>
      <c r="AR328" s="2" t="s">
        <v>866</v>
      </c>
    </row>
    <row r="329" spans="1:44" ht="12.75" customHeight="1">
      <c r="A329" s="4">
        <f>DATE(66,5,6)</f>
        <v>24233</v>
      </c>
      <c r="C329" s="2" t="s">
        <v>169</v>
      </c>
      <c r="E329" s="18">
        <v>0</v>
      </c>
      <c r="F329" s="18">
        <v>0</v>
      </c>
      <c r="G329" s="18">
        <v>0</v>
      </c>
      <c r="H329" s="18">
        <v>0</v>
      </c>
      <c r="I329" s="18">
        <v>2</v>
      </c>
      <c r="J329" s="18">
        <v>0</v>
      </c>
      <c r="K329" s="18">
        <v>0</v>
      </c>
      <c r="T329" s="3">
        <v>2</v>
      </c>
      <c r="U329" s="3">
        <v>5</v>
      </c>
      <c r="V329" s="3">
        <v>3</v>
      </c>
      <c r="X329" s="2" t="s">
        <v>845</v>
      </c>
      <c r="Y329" s="18">
        <v>0</v>
      </c>
      <c r="Z329" s="18">
        <v>0</v>
      </c>
      <c r="AA329" s="18">
        <v>1</v>
      </c>
      <c r="AB329" s="18">
        <v>0</v>
      </c>
      <c r="AC329" s="18">
        <v>1</v>
      </c>
      <c r="AD329" s="18">
        <v>0</v>
      </c>
      <c r="AE329" s="18">
        <v>2</v>
      </c>
      <c r="AN329" s="3">
        <v>4</v>
      </c>
      <c r="AO329" s="3">
        <v>9</v>
      </c>
      <c r="AP329" s="3">
        <v>1</v>
      </c>
      <c r="AR329" s="2" t="s">
        <v>867</v>
      </c>
    </row>
    <row r="330" spans="1:44" ht="12.75" customHeight="1">
      <c r="A330" s="4">
        <f>DATE(66,5,10)</f>
        <v>24237</v>
      </c>
      <c r="B330" s="2" t="s">
        <v>152</v>
      </c>
      <c r="C330" s="2" t="s">
        <v>371</v>
      </c>
      <c r="E330" s="18">
        <v>2</v>
      </c>
      <c r="F330" s="18">
        <v>0</v>
      </c>
      <c r="G330" s="18">
        <v>1</v>
      </c>
      <c r="H330" s="18">
        <v>0</v>
      </c>
      <c r="I330" s="18">
        <v>0</v>
      </c>
      <c r="J330" s="18">
        <v>0</v>
      </c>
      <c r="K330" s="18">
        <v>4</v>
      </c>
      <c r="T330" s="3">
        <v>7</v>
      </c>
      <c r="U330" s="3">
        <v>9</v>
      </c>
      <c r="V330" s="3">
        <v>1</v>
      </c>
      <c r="X330" s="2" t="s">
        <v>846</v>
      </c>
      <c r="Y330" s="18">
        <v>0</v>
      </c>
      <c r="Z330" s="18">
        <v>0</v>
      </c>
      <c r="AA330" s="18">
        <v>0</v>
      </c>
      <c r="AB330" s="18">
        <v>0</v>
      </c>
      <c r="AC330" s="18">
        <v>0</v>
      </c>
      <c r="AD330" s="18">
        <v>2</v>
      </c>
      <c r="AE330" s="18">
        <v>0</v>
      </c>
      <c r="AN330" s="3">
        <v>2</v>
      </c>
      <c r="AO330" s="3">
        <v>3</v>
      </c>
      <c r="AP330" s="3">
        <v>1</v>
      </c>
      <c r="AR330" s="2" t="s">
        <v>868</v>
      </c>
    </row>
    <row r="331" spans="1:44" ht="12.75" customHeight="1">
      <c r="A331" s="4">
        <f>DATE(66,5,16)</f>
        <v>24243</v>
      </c>
      <c r="C331" s="2" t="s">
        <v>241</v>
      </c>
      <c r="E331" s="18">
        <v>1</v>
      </c>
      <c r="F331" s="18">
        <v>4</v>
      </c>
      <c r="G331" s="18">
        <v>3</v>
      </c>
      <c r="H331" s="18">
        <v>2</v>
      </c>
      <c r="I331" s="18">
        <v>0</v>
      </c>
      <c r="J331" s="18">
        <v>0</v>
      </c>
      <c r="K331" s="18" t="s">
        <v>162</v>
      </c>
      <c r="T331" s="3">
        <v>10</v>
      </c>
      <c r="U331" s="3">
        <v>13</v>
      </c>
      <c r="V331" s="3">
        <v>3</v>
      </c>
      <c r="X331" s="2" t="s">
        <v>869</v>
      </c>
      <c r="Y331" s="18">
        <v>0</v>
      </c>
      <c r="Z331" s="18">
        <v>2</v>
      </c>
      <c r="AA331" s="18">
        <v>1</v>
      </c>
      <c r="AB331" s="18">
        <v>0</v>
      </c>
      <c r="AC331" s="18">
        <v>0</v>
      </c>
      <c r="AD331" s="18">
        <v>1</v>
      </c>
      <c r="AE331" s="18">
        <v>0</v>
      </c>
      <c r="AN331" s="3">
        <v>4</v>
      </c>
      <c r="AO331" s="3">
        <v>4</v>
      </c>
      <c r="AP331" s="3">
        <v>4</v>
      </c>
      <c r="AR331" s="2" t="s">
        <v>242</v>
      </c>
    </row>
    <row r="332" spans="1:44" ht="12.75" customHeight="1">
      <c r="A332" s="4">
        <f>DATE(66,5,17)</f>
        <v>24244</v>
      </c>
      <c r="C332" s="2" t="s">
        <v>371</v>
      </c>
      <c r="E332" s="18">
        <v>1</v>
      </c>
      <c r="F332" s="18">
        <v>0</v>
      </c>
      <c r="G332" s="18">
        <v>1</v>
      </c>
      <c r="H332" s="18">
        <v>2</v>
      </c>
      <c r="I332" s="18">
        <v>0</v>
      </c>
      <c r="J332" s="18">
        <v>1</v>
      </c>
      <c r="K332" s="18">
        <v>1</v>
      </c>
      <c r="T332" s="3">
        <v>6</v>
      </c>
      <c r="U332" s="3">
        <v>12</v>
      </c>
      <c r="V332" s="3">
        <v>3</v>
      </c>
      <c r="X332" s="2" t="s">
        <v>870</v>
      </c>
      <c r="Y332" s="18">
        <v>3</v>
      </c>
      <c r="Z332" s="18">
        <v>0</v>
      </c>
      <c r="AA332" s="18">
        <v>2</v>
      </c>
      <c r="AB332" s="18">
        <v>0</v>
      </c>
      <c r="AC332" s="18">
        <v>0</v>
      </c>
      <c r="AD332" s="18">
        <v>0</v>
      </c>
      <c r="AE332" s="18">
        <v>0</v>
      </c>
      <c r="AN332" s="3">
        <v>5</v>
      </c>
      <c r="AO332" s="3">
        <v>5</v>
      </c>
      <c r="AP332" s="3">
        <v>2</v>
      </c>
      <c r="AR332" s="2" t="s">
        <v>871</v>
      </c>
    </row>
    <row r="333" spans="1:44" ht="12.75" customHeight="1">
      <c r="A333" s="4">
        <f>DATE(66,5,18)</f>
        <v>24245</v>
      </c>
      <c r="B333" s="2" t="s">
        <v>152</v>
      </c>
      <c r="C333" s="2" t="s">
        <v>236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T333" s="3">
        <v>0</v>
      </c>
      <c r="U333" s="3">
        <v>4</v>
      </c>
      <c r="V333" s="3">
        <v>3</v>
      </c>
      <c r="X333" s="2" t="s">
        <v>872</v>
      </c>
      <c r="Y333" s="18">
        <v>3</v>
      </c>
      <c r="Z333" s="18">
        <v>3</v>
      </c>
      <c r="AA333" s="18">
        <v>3</v>
      </c>
      <c r="AB333" s="18">
        <v>2</v>
      </c>
      <c r="AC333" s="18">
        <v>0</v>
      </c>
      <c r="AN333" s="3">
        <v>11</v>
      </c>
      <c r="AO333" s="3">
        <v>8</v>
      </c>
      <c r="AP333" s="3">
        <v>3</v>
      </c>
      <c r="AR333" s="2" t="s">
        <v>873</v>
      </c>
    </row>
    <row r="334" spans="1:44" ht="12.75" customHeight="1">
      <c r="A334" s="4">
        <f>DATE(66,5,19)</f>
        <v>24246</v>
      </c>
      <c r="C334" s="2" t="s">
        <v>331</v>
      </c>
      <c r="E334" s="18">
        <v>0</v>
      </c>
      <c r="F334" s="18">
        <v>2</v>
      </c>
      <c r="G334" s="18">
        <v>3</v>
      </c>
      <c r="H334" s="18">
        <v>1</v>
      </c>
      <c r="I334" s="18">
        <v>0</v>
      </c>
      <c r="J334" s="18">
        <v>0</v>
      </c>
      <c r="K334" s="18" t="s">
        <v>162</v>
      </c>
      <c r="T334" s="3">
        <v>6</v>
      </c>
      <c r="U334" s="3">
        <v>10</v>
      </c>
      <c r="V334" s="3">
        <v>1</v>
      </c>
      <c r="X334" s="2" t="s">
        <v>846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  <c r="AE334" s="18">
        <v>0</v>
      </c>
      <c r="AN334" s="3">
        <v>0</v>
      </c>
      <c r="AO334" s="3">
        <v>3</v>
      </c>
      <c r="AP334" s="3">
        <v>1</v>
      </c>
      <c r="AR334" s="2" t="s">
        <v>874</v>
      </c>
    </row>
    <row r="335" spans="1:44" ht="12.75" customHeight="1">
      <c r="A335" s="4">
        <f>DATE(66,5,26)</f>
        <v>24253</v>
      </c>
      <c r="B335" s="2" t="s">
        <v>239</v>
      </c>
      <c r="C335" s="2" t="s">
        <v>174</v>
      </c>
      <c r="D335" s="2" t="s">
        <v>243</v>
      </c>
      <c r="E335" s="18">
        <v>6</v>
      </c>
      <c r="F335" s="18">
        <v>1</v>
      </c>
      <c r="G335" s="18">
        <v>3</v>
      </c>
      <c r="H335" s="18">
        <v>6</v>
      </c>
      <c r="I335" s="18">
        <v>1</v>
      </c>
      <c r="J335" s="18">
        <v>0</v>
      </c>
      <c r="K335" s="18" t="s">
        <v>162</v>
      </c>
      <c r="T335" s="3">
        <v>17</v>
      </c>
      <c r="U335" s="3">
        <v>11</v>
      </c>
      <c r="V335" s="3">
        <v>1</v>
      </c>
      <c r="X335" s="2" t="s">
        <v>875</v>
      </c>
      <c r="Y335" s="18">
        <v>3</v>
      </c>
      <c r="Z335" s="18">
        <v>0</v>
      </c>
      <c r="AA335" s="18">
        <v>0</v>
      </c>
      <c r="AB335" s="18">
        <v>2</v>
      </c>
      <c r="AC335" s="18">
        <v>3</v>
      </c>
      <c r="AD335" s="18">
        <v>0</v>
      </c>
      <c r="AN335" s="3">
        <v>8</v>
      </c>
      <c r="AO335" s="3">
        <v>7</v>
      </c>
      <c r="AP335" s="3">
        <v>6</v>
      </c>
      <c r="AR335" s="2" t="s">
        <v>876</v>
      </c>
    </row>
    <row r="336" spans="1:44" ht="12.75" customHeight="1">
      <c r="A336" s="4">
        <f>DATE(66,6,2)</f>
        <v>24260</v>
      </c>
      <c r="B336" s="2" t="s">
        <v>239</v>
      </c>
      <c r="C336" s="2" t="s">
        <v>168</v>
      </c>
      <c r="D336" s="2" t="s">
        <v>243</v>
      </c>
      <c r="E336" s="18">
        <v>1</v>
      </c>
      <c r="F336" s="18">
        <v>0</v>
      </c>
      <c r="G336" s="18">
        <v>0</v>
      </c>
      <c r="H336" s="18">
        <v>0</v>
      </c>
      <c r="I336" s="18">
        <v>3</v>
      </c>
      <c r="J336" s="18">
        <v>0</v>
      </c>
      <c r="K336" s="18">
        <v>0</v>
      </c>
      <c r="L336" s="18">
        <v>0</v>
      </c>
      <c r="T336" s="3">
        <v>4</v>
      </c>
      <c r="U336" s="3">
        <v>6</v>
      </c>
      <c r="V336" s="3">
        <v>1</v>
      </c>
      <c r="X336" s="2" t="s">
        <v>877</v>
      </c>
      <c r="Y336" s="18">
        <v>0</v>
      </c>
      <c r="Z336" s="18">
        <v>0</v>
      </c>
      <c r="AA336" s="18">
        <v>0</v>
      </c>
      <c r="AB336" s="18">
        <v>0</v>
      </c>
      <c r="AC336" s="18">
        <v>4</v>
      </c>
      <c r="AD336" s="18">
        <v>0</v>
      </c>
      <c r="AE336" s="18">
        <v>0</v>
      </c>
      <c r="AF336" s="18">
        <v>1</v>
      </c>
      <c r="AN336" s="3">
        <v>5</v>
      </c>
      <c r="AO336" s="3">
        <v>7</v>
      </c>
      <c r="AP336" s="3">
        <v>3</v>
      </c>
      <c r="AR336" s="2" t="s">
        <v>2407</v>
      </c>
    </row>
    <row r="337" ht="12.75" customHeight="1">
      <c r="A337" s="4"/>
    </row>
    <row r="338" spans="1:45" ht="12.75" customHeight="1">
      <c r="A338" s="4">
        <f>DATE(67,4,10)</f>
        <v>24572</v>
      </c>
      <c r="B338" s="2" t="s">
        <v>237</v>
      </c>
      <c r="C338" s="2" t="s">
        <v>236</v>
      </c>
      <c r="E338" s="18">
        <v>0</v>
      </c>
      <c r="F338" s="18">
        <v>1</v>
      </c>
      <c r="G338" s="18">
        <v>0</v>
      </c>
      <c r="H338" s="18">
        <v>0</v>
      </c>
      <c r="I338" s="18">
        <v>0</v>
      </c>
      <c r="J338" s="18">
        <v>0</v>
      </c>
      <c r="T338" s="3">
        <v>1</v>
      </c>
      <c r="U338" s="3">
        <v>2</v>
      </c>
      <c r="V338" s="3">
        <v>4</v>
      </c>
      <c r="X338" s="2" t="s">
        <v>872</v>
      </c>
      <c r="Y338" s="18">
        <v>0</v>
      </c>
      <c r="Z338" s="18">
        <v>2</v>
      </c>
      <c r="AA338" s="18">
        <v>1</v>
      </c>
      <c r="AB338" s="18">
        <v>1</v>
      </c>
      <c r="AC338" s="18">
        <v>0</v>
      </c>
      <c r="AD338" s="18">
        <v>2</v>
      </c>
      <c r="AN338" s="3">
        <v>6</v>
      </c>
      <c r="AO338" s="3">
        <v>8</v>
      </c>
      <c r="AP338" s="3">
        <v>1</v>
      </c>
      <c r="AR338" s="2" t="s">
        <v>878</v>
      </c>
      <c r="AS338" s="2" t="s">
        <v>731</v>
      </c>
    </row>
    <row r="339" spans="1:46" ht="12.75" customHeight="1">
      <c r="A339" s="4">
        <f>DATE(67,4,13)</f>
        <v>24575</v>
      </c>
      <c r="C339" s="2" t="s">
        <v>371</v>
      </c>
      <c r="E339" s="18">
        <v>0</v>
      </c>
      <c r="F339" s="18">
        <v>2</v>
      </c>
      <c r="G339" s="18">
        <v>0</v>
      </c>
      <c r="H339" s="18">
        <v>0</v>
      </c>
      <c r="I339" s="18">
        <v>1</v>
      </c>
      <c r="J339" s="18">
        <v>2</v>
      </c>
      <c r="K339" s="18" t="s">
        <v>162</v>
      </c>
      <c r="T339" s="3">
        <v>5</v>
      </c>
      <c r="U339" s="3">
        <v>8</v>
      </c>
      <c r="V339" s="3">
        <v>0</v>
      </c>
      <c r="X339" s="2" t="s">
        <v>879</v>
      </c>
      <c r="Y339" s="18"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  <c r="AE339" s="18">
        <v>0</v>
      </c>
      <c r="AN339" s="3">
        <v>0</v>
      </c>
      <c r="AO339" s="3">
        <v>1</v>
      </c>
      <c r="AP339" s="3">
        <v>3</v>
      </c>
      <c r="AR339" s="2" t="s">
        <v>880</v>
      </c>
      <c r="AS339" s="2" t="s">
        <v>244</v>
      </c>
      <c r="AT339" s="2" t="s">
        <v>197</v>
      </c>
    </row>
    <row r="340" spans="1:44" ht="12.75" customHeight="1">
      <c r="A340" s="4">
        <f>DATE(67,4,20)</f>
        <v>24582</v>
      </c>
      <c r="B340" s="2" t="s">
        <v>237</v>
      </c>
      <c r="C340" s="2" t="s">
        <v>241</v>
      </c>
      <c r="E340" s="18">
        <v>0</v>
      </c>
      <c r="F340" s="18">
        <v>0</v>
      </c>
      <c r="G340" s="18">
        <v>0</v>
      </c>
      <c r="H340" s="18">
        <v>0</v>
      </c>
      <c r="I340" s="18">
        <v>4</v>
      </c>
      <c r="J340" s="18">
        <v>3</v>
      </c>
      <c r="K340" s="18">
        <v>0</v>
      </c>
      <c r="T340" s="3">
        <v>7</v>
      </c>
      <c r="U340" s="3">
        <v>5</v>
      </c>
      <c r="V340" s="3">
        <v>2</v>
      </c>
      <c r="X340" s="2" t="s">
        <v>845</v>
      </c>
      <c r="Y340" s="18">
        <v>0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  <c r="AE340" s="18">
        <v>0</v>
      </c>
      <c r="AN340" s="3">
        <v>0</v>
      </c>
      <c r="AO340" s="3">
        <v>4</v>
      </c>
      <c r="AP340" s="3">
        <v>1</v>
      </c>
      <c r="AR340" s="2" t="s">
        <v>881</v>
      </c>
    </row>
    <row r="341" spans="1:44" ht="12.75" customHeight="1">
      <c r="A341" s="4">
        <f>DATE(67,4,26)</f>
        <v>24588</v>
      </c>
      <c r="B341" s="2" t="s">
        <v>237</v>
      </c>
      <c r="C341" s="2" t="s">
        <v>192</v>
      </c>
      <c r="E341" s="18">
        <v>1</v>
      </c>
      <c r="F341" s="18">
        <v>0</v>
      </c>
      <c r="G341" s="18">
        <v>1</v>
      </c>
      <c r="H341" s="18">
        <v>0</v>
      </c>
      <c r="I341" s="18">
        <v>0</v>
      </c>
      <c r="J341" s="18">
        <v>1</v>
      </c>
      <c r="K341" s="18">
        <v>0</v>
      </c>
      <c r="T341" s="3">
        <v>3</v>
      </c>
      <c r="U341" s="3">
        <v>5</v>
      </c>
      <c r="V341" s="3">
        <v>3</v>
      </c>
      <c r="X341" s="2" t="s">
        <v>882</v>
      </c>
      <c r="Y341" s="18">
        <v>0</v>
      </c>
      <c r="Z341" s="18">
        <v>0</v>
      </c>
      <c r="AA341" s="18">
        <v>2</v>
      </c>
      <c r="AB341" s="18">
        <v>0</v>
      </c>
      <c r="AC341" s="18">
        <v>1</v>
      </c>
      <c r="AD341" s="18">
        <v>1</v>
      </c>
      <c r="AE341" s="18" t="s">
        <v>162</v>
      </c>
      <c r="AN341" s="3">
        <v>4</v>
      </c>
      <c r="AO341" s="3">
        <v>6</v>
      </c>
      <c r="AP341" s="3">
        <v>2</v>
      </c>
      <c r="AR341" s="2" t="s">
        <v>245</v>
      </c>
    </row>
    <row r="342" spans="1:44" ht="12.75" customHeight="1">
      <c r="A342" s="4">
        <f>DATE(67,4,28)</f>
        <v>24590</v>
      </c>
      <c r="C342" s="2" t="s">
        <v>331</v>
      </c>
      <c r="E342" s="18">
        <v>3</v>
      </c>
      <c r="F342" s="18">
        <v>1</v>
      </c>
      <c r="G342" s="18">
        <v>0</v>
      </c>
      <c r="H342" s="18">
        <v>0</v>
      </c>
      <c r="I342" s="18">
        <v>1</v>
      </c>
      <c r="J342" s="18">
        <v>0</v>
      </c>
      <c r="K342" s="18" t="s">
        <v>162</v>
      </c>
      <c r="T342" s="3">
        <v>5</v>
      </c>
      <c r="U342" s="3">
        <v>8</v>
      </c>
      <c r="V342" s="3">
        <v>1</v>
      </c>
      <c r="X342" s="2" t="s">
        <v>879</v>
      </c>
      <c r="Y342" s="18">
        <v>1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N342" s="3">
        <v>1</v>
      </c>
      <c r="AO342" s="3">
        <v>3</v>
      </c>
      <c r="AP342" s="3">
        <v>3</v>
      </c>
      <c r="AR342" s="2" t="s">
        <v>883</v>
      </c>
    </row>
    <row r="343" spans="1:44" ht="12.75" customHeight="1">
      <c r="A343" s="4">
        <f>DATE(67,5,4)</f>
        <v>24596</v>
      </c>
      <c r="B343" s="2" t="s">
        <v>152</v>
      </c>
      <c r="C343" s="2" t="s">
        <v>371</v>
      </c>
      <c r="E343" s="18">
        <v>0</v>
      </c>
      <c r="F343" s="18">
        <v>1</v>
      </c>
      <c r="G343" s="18">
        <v>0</v>
      </c>
      <c r="H343" s="18">
        <v>0</v>
      </c>
      <c r="I343" s="18">
        <v>1</v>
      </c>
      <c r="J343" s="18">
        <v>1</v>
      </c>
      <c r="K343" s="18">
        <v>4</v>
      </c>
      <c r="T343" s="3">
        <v>7</v>
      </c>
      <c r="U343" s="3">
        <v>8</v>
      </c>
      <c r="V343" s="3">
        <v>0</v>
      </c>
      <c r="X343" s="2" t="s">
        <v>879</v>
      </c>
      <c r="Y343" s="18">
        <v>0</v>
      </c>
      <c r="Z343" s="18">
        <v>0</v>
      </c>
      <c r="AA343" s="18">
        <v>0</v>
      </c>
      <c r="AB343" s="18">
        <v>1</v>
      </c>
      <c r="AC343" s="18">
        <v>0</v>
      </c>
      <c r="AD343" s="18">
        <v>0</v>
      </c>
      <c r="AE343" s="18">
        <v>0</v>
      </c>
      <c r="AN343" s="3">
        <v>1</v>
      </c>
      <c r="AO343" s="3">
        <v>7</v>
      </c>
      <c r="AP343" s="3">
        <v>7</v>
      </c>
      <c r="AR343" s="2" t="s">
        <v>880</v>
      </c>
    </row>
    <row r="344" spans="1:44" ht="12.75" customHeight="1">
      <c r="A344" s="4">
        <f>DATE(67,5,17)</f>
        <v>24609</v>
      </c>
      <c r="B344" s="2" t="s">
        <v>152</v>
      </c>
      <c r="C344" s="2" t="s">
        <v>331</v>
      </c>
      <c r="E344" s="18">
        <v>1</v>
      </c>
      <c r="F344" s="18">
        <v>3</v>
      </c>
      <c r="G344" s="18">
        <v>0</v>
      </c>
      <c r="H344" s="18">
        <v>2</v>
      </c>
      <c r="I344" s="18">
        <v>1</v>
      </c>
      <c r="J344" s="18">
        <v>0</v>
      </c>
      <c r="K344" s="18">
        <v>2</v>
      </c>
      <c r="T344" s="3">
        <v>9</v>
      </c>
      <c r="U344" s="3">
        <v>13</v>
      </c>
      <c r="V344" s="3">
        <v>3</v>
      </c>
      <c r="X344" s="2" t="s">
        <v>845</v>
      </c>
      <c r="Y344" s="18">
        <v>0</v>
      </c>
      <c r="Z344" s="18">
        <v>0</v>
      </c>
      <c r="AA344" s="18">
        <v>1</v>
      </c>
      <c r="AB344" s="18">
        <v>2</v>
      </c>
      <c r="AC344" s="18">
        <v>0</v>
      </c>
      <c r="AD344" s="18">
        <v>0</v>
      </c>
      <c r="AE344" s="18">
        <v>2</v>
      </c>
      <c r="AN344" s="3">
        <v>5</v>
      </c>
      <c r="AO344" s="3">
        <v>9</v>
      </c>
      <c r="AP344" s="3">
        <v>2</v>
      </c>
      <c r="AR344" s="2" t="s">
        <v>884</v>
      </c>
    </row>
    <row r="345" spans="1:44" ht="12.75" customHeight="1">
      <c r="A345" s="4">
        <f>DATE(67,5,18)</f>
        <v>24610</v>
      </c>
      <c r="B345" s="2" t="s">
        <v>152</v>
      </c>
      <c r="C345" s="2" t="s">
        <v>169</v>
      </c>
      <c r="E345" s="18">
        <v>0</v>
      </c>
      <c r="F345" s="18">
        <v>0</v>
      </c>
      <c r="G345" s="18">
        <v>3</v>
      </c>
      <c r="H345" s="18">
        <v>0</v>
      </c>
      <c r="I345" s="18">
        <v>3</v>
      </c>
      <c r="J345" s="18">
        <v>0</v>
      </c>
      <c r="K345" s="18">
        <v>2</v>
      </c>
      <c r="T345" s="3">
        <v>8</v>
      </c>
      <c r="U345" s="3">
        <v>8</v>
      </c>
      <c r="V345" s="3">
        <v>2</v>
      </c>
      <c r="X345" s="2" t="s">
        <v>879</v>
      </c>
      <c r="Y345" s="18">
        <v>1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  <c r="AE345" s="18">
        <v>1</v>
      </c>
      <c r="AN345" s="3">
        <v>2</v>
      </c>
      <c r="AO345" s="3">
        <v>6</v>
      </c>
      <c r="AP345" s="3">
        <v>2</v>
      </c>
      <c r="AR345" s="2" t="s">
        <v>885</v>
      </c>
    </row>
    <row r="346" spans="1:44" ht="12.75" customHeight="1">
      <c r="A346" s="4">
        <f>DATE(67,5,22)</f>
        <v>24614</v>
      </c>
      <c r="C346" s="2" t="s">
        <v>169</v>
      </c>
      <c r="E346" s="18">
        <v>2</v>
      </c>
      <c r="F346" s="18">
        <v>7</v>
      </c>
      <c r="G346" s="18">
        <v>1</v>
      </c>
      <c r="H346" s="18">
        <v>1</v>
      </c>
      <c r="I346" s="18">
        <v>2</v>
      </c>
      <c r="J346" s="18">
        <v>4</v>
      </c>
      <c r="K346" s="18" t="s">
        <v>162</v>
      </c>
      <c r="T346" s="3">
        <v>17</v>
      </c>
      <c r="U346" s="3">
        <v>12</v>
      </c>
      <c r="V346" s="3">
        <v>4</v>
      </c>
      <c r="X346" s="2" t="s">
        <v>845</v>
      </c>
      <c r="Y346" s="18">
        <v>0</v>
      </c>
      <c r="Z346" s="18">
        <v>0</v>
      </c>
      <c r="AA346" s="18">
        <v>0</v>
      </c>
      <c r="AB346" s="18">
        <v>0</v>
      </c>
      <c r="AC346" s="18">
        <v>2</v>
      </c>
      <c r="AD346" s="18">
        <v>2</v>
      </c>
      <c r="AE346" s="18">
        <v>1</v>
      </c>
      <c r="AN346" s="3">
        <v>5</v>
      </c>
      <c r="AO346" s="3">
        <v>7</v>
      </c>
      <c r="AP346" s="3">
        <v>5</v>
      </c>
      <c r="AR346" s="2" t="s">
        <v>886</v>
      </c>
    </row>
    <row r="347" spans="1:44" ht="12.75" customHeight="1">
      <c r="A347" s="4">
        <f>DATE(67,5,23)</f>
        <v>24615</v>
      </c>
      <c r="C347" s="2" t="s">
        <v>192</v>
      </c>
      <c r="E347" s="18" t="s">
        <v>162</v>
      </c>
      <c r="F347" s="18" t="s">
        <v>162</v>
      </c>
      <c r="G347" s="18" t="s">
        <v>162</v>
      </c>
      <c r="H347" s="18" t="s">
        <v>162</v>
      </c>
      <c r="I347" s="18" t="s">
        <v>162</v>
      </c>
      <c r="J347" s="18" t="s">
        <v>162</v>
      </c>
      <c r="K347" s="18" t="s">
        <v>162</v>
      </c>
      <c r="T347" s="3">
        <v>7</v>
      </c>
      <c r="U347" s="3" t="s">
        <v>162</v>
      </c>
      <c r="V347" s="3" t="s">
        <v>162</v>
      </c>
      <c r="W347" s="3"/>
      <c r="X347" s="2" t="s">
        <v>246</v>
      </c>
      <c r="Y347" s="18" t="s">
        <v>162</v>
      </c>
      <c r="Z347" s="18" t="s">
        <v>162</v>
      </c>
      <c r="AA347" s="18" t="s">
        <v>162</v>
      </c>
      <c r="AB347" s="18" t="s">
        <v>162</v>
      </c>
      <c r="AC347" s="18" t="s">
        <v>162</v>
      </c>
      <c r="AD347" s="18" t="s">
        <v>162</v>
      </c>
      <c r="AE347" s="18" t="s">
        <v>162</v>
      </c>
      <c r="AN347" s="3">
        <v>0</v>
      </c>
      <c r="AO347" s="3" t="s">
        <v>162</v>
      </c>
      <c r="AP347" s="3" t="s">
        <v>162</v>
      </c>
      <c r="AQ347" s="3"/>
      <c r="AR347" s="2" t="s">
        <v>246</v>
      </c>
    </row>
    <row r="348" spans="1:44" ht="12.75" customHeight="1">
      <c r="A348" s="4">
        <f>DATE(67,5,24)</f>
        <v>24616</v>
      </c>
      <c r="C348" s="2" t="s">
        <v>241</v>
      </c>
      <c r="E348" s="18">
        <v>2</v>
      </c>
      <c r="F348" s="18">
        <v>1</v>
      </c>
      <c r="G348" s="18">
        <v>1</v>
      </c>
      <c r="H348" s="18">
        <v>1</v>
      </c>
      <c r="I348" s="18">
        <v>0</v>
      </c>
      <c r="J348" s="18">
        <v>1</v>
      </c>
      <c r="K348" s="18" t="s">
        <v>162</v>
      </c>
      <c r="T348" s="3">
        <v>6</v>
      </c>
      <c r="U348" s="3">
        <v>4</v>
      </c>
      <c r="V348" s="3">
        <v>2</v>
      </c>
      <c r="X348" s="2" t="s">
        <v>887</v>
      </c>
      <c r="Y348" s="18">
        <v>0</v>
      </c>
      <c r="Z348" s="18">
        <v>0</v>
      </c>
      <c r="AA348" s="18">
        <v>1</v>
      </c>
      <c r="AB348" s="18">
        <v>0</v>
      </c>
      <c r="AC348" s="18">
        <v>0</v>
      </c>
      <c r="AD348" s="18">
        <v>0</v>
      </c>
      <c r="AE348" s="18">
        <v>0</v>
      </c>
      <c r="AN348" s="3">
        <v>1</v>
      </c>
      <c r="AO348" s="3">
        <v>6</v>
      </c>
      <c r="AP348" s="3">
        <v>0</v>
      </c>
      <c r="AR348" s="2" t="s">
        <v>888</v>
      </c>
    </row>
    <row r="349" spans="1:44" ht="12.75" customHeight="1">
      <c r="A349" s="4">
        <f>DATE(67,5,30)</f>
        <v>24622</v>
      </c>
      <c r="C349" s="2" t="s">
        <v>174</v>
      </c>
      <c r="D349" s="2" t="s">
        <v>243</v>
      </c>
      <c r="E349" s="18">
        <v>0</v>
      </c>
      <c r="F349" s="18">
        <v>2</v>
      </c>
      <c r="G349" s="18">
        <v>0</v>
      </c>
      <c r="H349" s="18">
        <v>2</v>
      </c>
      <c r="I349" s="18">
        <v>0</v>
      </c>
      <c r="J349" s="18">
        <v>1</v>
      </c>
      <c r="K349" s="18">
        <v>0</v>
      </c>
      <c r="T349" s="3">
        <v>5</v>
      </c>
      <c r="U349" s="3">
        <v>7</v>
      </c>
      <c r="V349" s="3">
        <v>2</v>
      </c>
      <c r="X349" s="2" t="s">
        <v>879</v>
      </c>
      <c r="Y349" s="18">
        <v>0</v>
      </c>
      <c r="Z349" s="18">
        <v>2</v>
      </c>
      <c r="AA349" s="18">
        <v>1</v>
      </c>
      <c r="AB349" s="18">
        <v>0</v>
      </c>
      <c r="AC349" s="18">
        <v>0</v>
      </c>
      <c r="AD349" s="18">
        <v>0</v>
      </c>
      <c r="AE349" s="18">
        <v>1</v>
      </c>
      <c r="AN349" s="3">
        <v>4</v>
      </c>
      <c r="AO349" s="3">
        <v>7</v>
      </c>
      <c r="AP349" s="3">
        <v>3</v>
      </c>
      <c r="AR349" s="2" t="s">
        <v>889</v>
      </c>
    </row>
    <row r="350" spans="1:44" ht="12.75" customHeight="1">
      <c r="A350" s="4">
        <f>DATE(67,6,6)</f>
        <v>24629</v>
      </c>
      <c r="B350" s="2" t="s">
        <v>239</v>
      </c>
      <c r="C350" s="2" t="s">
        <v>247</v>
      </c>
      <c r="D350" s="2" t="s">
        <v>243</v>
      </c>
      <c r="E350" s="18">
        <v>0</v>
      </c>
      <c r="F350" s="18">
        <v>1</v>
      </c>
      <c r="G350" s="18">
        <v>1</v>
      </c>
      <c r="H350" s="18">
        <v>0</v>
      </c>
      <c r="I350" s="18">
        <v>0</v>
      </c>
      <c r="J350" s="18">
        <v>1</v>
      </c>
      <c r="K350" s="18">
        <v>0</v>
      </c>
      <c r="T350" s="3">
        <v>3</v>
      </c>
      <c r="U350" s="3">
        <v>6</v>
      </c>
      <c r="V350" s="3">
        <v>2</v>
      </c>
      <c r="X350" s="2" t="s">
        <v>872</v>
      </c>
      <c r="Y350" s="18">
        <v>1</v>
      </c>
      <c r="Z350" s="18">
        <v>0</v>
      </c>
      <c r="AA350" s="18">
        <v>2</v>
      </c>
      <c r="AB350" s="18">
        <v>2</v>
      </c>
      <c r="AC350" s="18">
        <v>0</v>
      </c>
      <c r="AD350" s="18">
        <v>0</v>
      </c>
      <c r="AE350" s="18">
        <v>0</v>
      </c>
      <c r="AN350" s="3">
        <v>5</v>
      </c>
      <c r="AO350" s="3">
        <v>9</v>
      </c>
      <c r="AP350" s="3">
        <v>6</v>
      </c>
      <c r="AR350" s="2" t="s">
        <v>890</v>
      </c>
    </row>
    <row r="351" ht="12.75" customHeight="1">
      <c r="A351" s="4"/>
    </row>
    <row r="352" spans="1:45" ht="12.75" customHeight="1">
      <c r="A352" s="4">
        <f>DATE(68,4,5)</f>
        <v>24933</v>
      </c>
      <c r="C352" s="2" t="s">
        <v>236</v>
      </c>
      <c r="E352" s="18">
        <v>0</v>
      </c>
      <c r="F352" s="18">
        <v>1</v>
      </c>
      <c r="G352" s="18">
        <v>0</v>
      </c>
      <c r="H352" s="18">
        <v>0</v>
      </c>
      <c r="I352" s="18">
        <v>1</v>
      </c>
      <c r="J352" s="18">
        <v>0</v>
      </c>
      <c r="K352" s="18">
        <v>0</v>
      </c>
      <c r="L352" s="18">
        <v>0</v>
      </c>
      <c r="T352" s="3">
        <v>2</v>
      </c>
      <c r="U352" s="3">
        <v>7</v>
      </c>
      <c r="V352" s="3">
        <v>5</v>
      </c>
      <c r="X352" s="2" t="s">
        <v>891</v>
      </c>
      <c r="Y352" s="18">
        <v>0</v>
      </c>
      <c r="Z352" s="18">
        <v>1</v>
      </c>
      <c r="AA352" s="18">
        <v>0</v>
      </c>
      <c r="AB352" s="18">
        <v>0</v>
      </c>
      <c r="AC352" s="18">
        <v>0</v>
      </c>
      <c r="AD352" s="18">
        <v>1</v>
      </c>
      <c r="AE352" s="18">
        <v>0</v>
      </c>
      <c r="AF352" s="18">
        <v>1</v>
      </c>
      <c r="AN352" s="3">
        <v>3</v>
      </c>
      <c r="AO352" s="3">
        <v>5</v>
      </c>
      <c r="AP352" s="3">
        <v>2</v>
      </c>
      <c r="AR352" s="2" t="s">
        <v>892</v>
      </c>
      <c r="AS352" s="2" t="s">
        <v>731</v>
      </c>
    </row>
    <row r="353" spans="1:46" ht="12.75" customHeight="1">
      <c r="A353" s="4">
        <f>DATE(68,4,19)</f>
        <v>24947</v>
      </c>
      <c r="C353" s="2" t="s">
        <v>241</v>
      </c>
      <c r="E353" s="18">
        <v>2</v>
      </c>
      <c r="F353" s="18">
        <v>2</v>
      </c>
      <c r="G353" s="18">
        <v>5</v>
      </c>
      <c r="H353" s="18">
        <v>0</v>
      </c>
      <c r="I353" s="18">
        <v>0</v>
      </c>
      <c r="J353" s="18">
        <v>3</v>
      </c>
      <c r="K353" s="18" t="s">
        <v>162</v>
      </c>
      <c r="T353" s="3">
        <v>12</v>
      </c>
      <c r="U353" s="3">
        <v>13</v>
      </c>
      <c r="V353" s="3">
        <v>1</v>
      </c>
      <c r="X353" s="2" t="s">
        <v>893</v>
      </c>
      <c r="Y353" s="18">
        <v>0</v>
      </c>
      <c r="Z353" s="18">
        <v>0</v>
      </c>
      <c r="AA353" s="18">
        <v>0</v>
      </c>
      <c r="AB353" s="18">
        <v>1</v>
      </c>
      <c r="AC353" s="18">
        <v>0</v>
      </c>
      <c r="AD353" s="18">
        <v>0</v>
      </c>
      <c r="AE353" s="18">
        <v>0</v>
      </c>
      <c r="AN353" s="3">
        <v>1</v>
      </c>
      <c r="AO353" s="3">
        <v>2</v>
      </c>
      <c r="AP353" s="3">
        <v>5</v>
      </c>
      <c r="AR353" s="2" t="s">
        <v>248</v>
      </c>
      <c r="AS353" s="2" t="s">
        <v>196</v>
      </c>
      <c r="AT353" s="2" t="s">
        <v>197</v>
      </c>
    </row>
    <row r="354" spans="1:44" ht="12.75" customHeight="1">
      <c r="A354" s="4">
        <f>DATE(68,4,23)</f>
        <v>24951</v>
      </c>
      <c r="B354" s="2" t="s">
        <v>152</v>
      </c>
      <c r="C354" s="2" t="s">
        <v>192</v>
      </c>
      <c r="E354" s="18">
        <v>0</v>
      </c>
      <c r="F354" s="18">
        <v>0</v>
      </c>
      <c r="G354" s="18">
        <v>0</v>
      </c>
      <c r="H354" s="18">
        <v>0</v>
      </c>
      <c r="I354" s="18">
        <v>2</v>
      </c>
      <c r="J354" s="18">
        <v>1</v>
      </c>
      <c r="K354" s="18">
        <v>3</v>
      </c>
      <c r="T354" s="3">
        <v>6</v>
      </c>
      <c r="U354" s="3">
        <v>7</v>
      </c>
      <c r="V354" s="3">
        <v>1</v>
      </c>
      <c r="X354" s="2" t="s">
        <v>894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2</v>
      </c>
      <c r="AE354" s="18">
        <v>1</v>
      </c>
      <c r="AN354" s="3">
        <v>3</v>
      </c>
      <c r="AO354" s="3">
        <v>7</v>
      </c>
      <c r="AP354" s="3">
        <v>1</v>
      </c>
      <c r="AR354" s="2" t="s">
        <v>895</v>
      </c>
    </row>
    <row r="355" spans="1:44" ht="12.75" customHeight="1">
      <c r="A355" s="4">
        <f>DATE(68,4,26)</f>
        <v>24954</v>
      </c>
      <c r="C355" s="2" t="s">
        <v>169</v>
      </c>
      <c r="E355" s="18">
        <v>0</v>
      </c>
      <c r="F355" s="18">
        <v>0</v>
      </c>
      <c r="G355" s="18">
        <v>0</v>
      </c>
      <c r="H355" s="18">
        <v>0</v>
      </c>
      <c r="I355" s="18">
        <v>1</v>
      </c>
      <c r="J355" s="18">
        <v>3</v>
      </c>
      <c r="K355" s="18" t="s">
        <v>162</v>
      </c>
      <c r="T355" s="3">
        <v>4</v>
      </c>
      <c r="U355" s="3">
        <v>6</v>
      </c>
      <c r="V355" s="3">
        <v>2</v>
      </c>
      <c r="X355" s="2" t="s">
        <v>893</v>
      </c>
      <c r="Y355" s="18">
        <v>3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  <c r="AE355" s="18">
        <v>0</v>
      </c>
      <c r="AN355" s="3">
        <v>3</v>
      </c>
      <c r="AO355" s="3">
        <v>4</v>
      </c>
      <c r="AP355" s="3">
        <v>4</v>
      </c>
      <c r="AR355" s="2" t="s">
        <v>896</v>
      </c>
    </row>
    <row r="356" spans="1:44" ht="12.75" customHeight="1">
      <c r="A356" s="4">
        <f>DATE(68,4,30)</f>
        <v>24958</v>
      </c>
      <c r="B356" s="2" t="s">
        <v>152</v>
      </c>
      <c r="C356" s="2" t="s">
        <v>331</v>
      </c>
      <c r="E356" s="18">
        <v>0</v>
      </c>
      <c r="F356" s="18">
        <v>1</v>
      </c>
      <c r="G356" s="18">
        <v>0</v>
      </c>
      <c r="H356" s="18">
        <v>0</v>
      </c>
      <c r="I356" s="18">
        <v>4</v>
      </c>
      <c r="J356" s="18">
        <v>0</v>
      </c>
      <c r="K356" s="18">
        <v>1</v>
      </c>
      <c r="T356" s="3">
        <v>6</v>
      </c>
      <c r="U356" s="3">
        <v>7</v>
      </c>
      <c r="V356" s="3">
        <v>1</v>
      </c>
      <c r="X356" s="2" t="s">
        <v>893</v>
      </c>
      <c r="Y356" s="18">
        <v>0</v>
      </c>
      <c r="Z356" s="18">
        <v>0</v>
      </c>
      <c r="AA356" s="18">
        <v>0</v>
      </c>
      <c r="AB356" s="18">
        <v>0</v>
      </c>
      <c r="AC356" s="18">
        <v>1</v>
      </c>
      <c r="AD356" s="18">
        <v>0</v>
      </c>
      <c r="AE356" s="18">
        <v>0</v>
      </c>
      <c r="AN356" s="3">
        <v>1</v>
      </c>
      <c r="AO356" s="3">
        <v>5</v>
      </c>
      <c r="AP356" s="3">
        <v>3</v>
      </c>
      <c r="AR356" s="2" t="s">
        <v>897</v>
      </c>
    </row>
    <row r="357" spans="1:44" ht="12.75" customHeight="1">
      <c r="A357" s="4">
        <f>DATE(68,5,2)</f>
        <v>24960</v>
      </c>
      <c r="B357" s="2" t="s">
        <v>152</v>
      </c>
      <c r="C357" s="2" t="s">
        <v>371</v>
      </c>
      <c r="E357" s="18">
        <v>2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1</v>
      </c>
      <c r="T357" s="3">
        <v>3</v>
      </c>
      <c r="U357" s="3">
        <v>5</v>
      </c>
      <c r="V357" s="3">
        <v>0</v>
      </c>
      <c r="X357" s="2" t="s">
        <v>898</v>
      </c>
      <c r="Y357" s="18">
        <v>0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  <c r="AE357" s="18">
        <v>1</v>
      </c>
      <c r="AN357" s="3">
        <v>1</v>
      </c>
      <c r="AO357" s="3">
        <v>7</v>
      </c>
      <c r="AP357" s="3">
        <v>2</v>
      </c>
      <c r="AR357" s="2" t="s">
        <v>899</v>
      </c>
    </row>
    <row r="358" spans="1:44" ht="12.75" customHeight="1">
      <c r="A358" s="4">
        <f>DATE(68,5,7)</f>
        <v>24965</v>
      </c>
      <c r="C358" s="2" t="s">
        <v>331</v>
      </c>
      <c r="E358" s="18">
        <v>0</v>
      </c>
      <c r="F358" s="18">
        <v>0</v>
      </c>
      <c r="G358" s="18">
        <v>0</v>
      </c>
      <c r="H358" s="18">
        <v>2</v>
      </c>
      <c r="I358" s="18">
        <v>0</v>
      </c>
      <c r="J358" s="18">
        <v>0</v>
      </c>
      <c r="K358" s="18">
        <v>3</v>
      </c>
      <c r="L358" s="18">
        <v>0</v>
      </c>
      <c r="M358" s="18">
        <v>0</v>
      </c>
      <c r="N358" s="18">
        <v>1</v>
      </c>
      <c r="T358" s="3">
        <v>6</v>
      </c>
      <c r="U358" s="3">
        <v>13</v>
      </c>
      <c r="V358" s="3">
        <v>5</v>
      </c>
      <c r="X358" s="2" t="s">
        <v>900</v>
      </c>
      <c r="Y358" s="18">
        <v>0</v>
      </c>
      <c r="Z358" s="18">
        <v>0</v>
      </c>
      <c r="AA358" s="18">
        <v>0</v>
      </c>
      <c r="AB358" s="18">
        <v>0</v>
      </c>
      <c r="AC358" s="18">
        <v>5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N358" s="3">
        <v>5</v>
      </c>
      <c r="AO358" s="3">
        <v>7</v>
      </c>
      <c r="AP358" s="3">
        <v>2</v>
      </c>
      <c r="AR358" s="2" t="s">
        <v>901</v>
      </c>
    </row>
    <row r="359" spans="1:44" ht="12.75" customHeight="1">
      <c r="A359" s="4">
        <f>DATE(68,5,14)</f>
        <v>24972</v>
      </c>
      <c r="C359" s="2" t="s">
        <v>371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1</v>
      </c>
      <c r="T359" s="3">
        <v>1</v>
      </c>
      <c r="U359" s="3">
        <v>8</v>
      </c>
      <c r="V359" s="3">
        <v>3</v>
      </c>
      <c r="X359" s="2" t="s">
        <v>902</v>
      </c>
      <c r="Y359" s="18">
        <v>0</v>
      </c>
      <c r="Z359" s="18">
        <v>1</v>
      </c>
      <c r="AA359" s="18">
        <v>2</v>
      </c>
      <c r="AB359" s="18">
        <v>0</v>
      </c>
      <c r="AC359" s="18">
        <v>0</v>
      </c>
      <c r="AD359" s="18">
        <v>0</v>
      </c>
      <c r="AE359" s="18">
        <v>0</v>
      </c>
      <c r="AN359" s="3">
        <v>3</v>
      </c>
      <c r="AO359" s="3">
        <v>8</v>
      </c>
      <c r="AP359" s="3">
        <v>2</v>
      </c>
      <c r="AR359" s="2" t="s">
        <v>899</v>
      </c>
    </row>
    <row r="360" spans="1:44" ht="12.75" customHeight="1">
      <c r="A360" s="4">
        <f>DATE(68,5,17)</f>
        <v>24975</v>
      </c>
      <c r="C360" s="2" t="s">
        <v>192</v>
      </c>
      <c r="E360" s="18">
        <v>0</v>
      </c>
      <c r="F360" s="18">
        <v>1</v>
      </c>
      <c r="G360" s="18">
        <v>1</v>
      </c>
      <c r="H360" s="18">
        <v>0</v>
      </c>
      <c r="I360" s="18">
        <v>1</v>
      </c>
      <c r="J360" s="18">
        <v>0</v>
      </c>
      <c r="K360" s="18" t="s">
        <v>162</v>
      </c>
      <c r="T360" s="3">
        <v>3</v>
      </c>
      <c r="U360" s="3">
        <v>6</v>
      </c>
      <c r="V360" s="3">
        <v>2</v>
      </c>
      <c r="X360" s="2" t="s">
        <v>903</v>
      </c>
      <c r="Y360" s="18">
        <v>0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  <c r="AE360" s="18">
        <v>0</v>
      </c>
      <c r="AN360" s="3">
        <v>0</v>
      </c>
      <c r="AO360" s="3">
        <v>2</v>
      </c>
      <c r="AP360" s="3">
        <v>2</v>
      </c>
      <c r="AR360" s="2" t="s">
        <v>904</v>
      </c>
    </row>
    <row r="361" spans="1:44" ht="12.75" customHeight="1">
      <c r="A361" s="4">
        <f>DATE(68,5,30)</f>
        <v>24988</v>
      </c>
      <c r="B361" s="2" t="s">
        <v>152</v>
      </c>
      <c r="C361" s="2" t="s">
        <v>169</v>
      </c>
      <c r="E361" s="18">
        <v>0</v>
      </c>
      <c r="F361" s="18">
        <v>0</v>
      </c>
      <c r="G361" s="18">
        <v>0</v>
      </c>
      <c r="H361" s="18">
        <v>0</v>
      </c>
      <c r="I361" s="18">
        <v>2</v>
      </c>
      <c r="J361" s="18">
        <v>0</v>
      </c>
      <c r="K361" s="18">
        <v>0</v>
      </c>
      <c r="T361" s="3">
        <v>2</v>
      </c>
      <c r="U361" s="3">
        <v>3</v>
      </c>
      <c r="V361" s="3">
        <v>2</v>
      </c>
      <c r="X361" s="2" t="s">
        <v>905</v>
      </c>
      <c r="Y361" s="18">
        <v>2</v>
      </c>
      <c r="Z361" s="18">
        <v>0</v>
      </c>
      <c r="AA361" s="18">
        <v>0</v>
      </c>
      <c r="AB361" s="18">
        <v>1</v>
      </c>
      <c r="AC361" s="18">
        <v>0</v>
      </c>
      <c r="AD361" s="18">
        <v>0</v>
      </c>
      <c r="AE361" s="18" t="s">
        <v>162</v>
      </c>
      <c r="AN361" s="3">
        <v>3</v>
      </c>
      <c r="AO361" s="3">
        <v>4</v>
      </c>
      <c r="AP361" s="3">
        <v>2</v>
      </c>
      <c r="AR361" s="2" t="s">
        <v>906</v>
      </c>
    </row>
    <row r="362" ht="12.75" customHeight="1">
      <c r="A362" s="4"/>
    </row>
    <row r="363" spans="1:45" ht="12.75" customHeight="1">
      <c r="A363" s="4">
        <f>DATE(69,4,3)</f>
        <v>25296</v>
      </c>
      <c r="B363" s="2" t="s">
        <v>152</v>
      </c>
      <c r="C363" s="2" t="s">
        <v>236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2</v>
      </c>
      <c r="K363" s="18">
        <v>0</v>
      </c>
      <c r="L363" s="18">
        <v>0</v>
      </c>
      <c r="T363" s="3">
        <v>2</v>
      </c>
      <c r="U363" s="3">
        <v>4</v>
      </c>
      <c r="V363" s="3">
        <v>1</v>
      </c>
      <c r="X363" s="2" t="s">
        <v>907</v>
      </c>
      <c r="Y363" s="18">
        <v>0</v>
      </c>
      <c r="Z363" s="18">
        <v>1</v>
      </c>
      <c r="AA363" s="18">
        <v>0</v>
      </c>
      <c r="AB363" s="18">
        <v>0</v>
      </c>
      <c r="AC363" s="18">
        <v>0</v>
      </c>
      <c r="AD363" s="18">
        <v>0</v>
      </c>
      <c r="AE363" s="18">
        <v>1</v>
      </c>
      <c r="AF363" s="18">
        <v>1</v>
      </c>
      <c r="AN363" s="3">
        <v>3</v>
      </c>
      <c r="AO363" s="3">
        <v>6</v>
      </c>
      <c r="AP363" s="3">
        <v>3</v>
      </c>
      <c r="AR363" s="2" t="s">
        <v>908</v>
      </c>
      <c r="AS363" s="2" t="s">
        <v>909</v>
      </c>
    </row>
    <row r="364" spans="1:46" ht="12.75" customHeight="1">
      <c r="A364" s="4">
        <f>DATE(69,4,17)</f>
        <v>25310</v>
      </c>
      <c r="C364" s="2" t="s">
        <v>241</v>
      </c>
      <c r="E364" s="18">
        <v>1</v>
      </c>
      <c r="F364" s="18">
        <v>1</v>
      </c>
      <c r="G364" s="18">
        <v>0</v>
      </c>
      <c r="H364" s="18">
        <v>1</v>
      </c>
      <c r="I364" s="18">
        <v>1</v>
      </c>
      <c r="J364" s="18">
        <v>1</v>
      </c>
      <c r="K364" s="18" t="s">
        <v>162</v>
      </c>
      <c r="T364" s="3">
        <v>5</v>
      </c>
      <c r="U364" s="3">
        <v>4</v>
      </c>
      <c r="V364" s="3">
        <v>1</v>
      </c>
      <c r="X364" s="2" t="s">
        <v>893</v>
      </c>
      <c r="Y364" s="18"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N364" s="3">
        <v>0</v>
      </c>
      <c r="AO364" s="3">
        <v>2</v>
      </c>
      <c r="AP364" s="3">
        <v>3</v>
      </c>
      <c r="AR364" s="2" t="s">
        <v>910</v>
      </c>
      <c r="AS364" s="2" t="s">
        <v>196</v>
      </c>
      <c r="AT364" s="2" t="s">
        <v>197</v>
      </c>
    </row>
    <row r="365" spans="1:44" ht="12.75" customHeight="1">
      <c r="A365" s="4">
        <f>DATE(69,4,23)</f>
        <v>25316</v>
      </c>
      <c r="B365" s="2" t="s">
        <v>152</v>
      </c>
      <c r="C365" s="2" t="s">
        <v>169</v>
      </c>
      <c r="E365" s="18">
        <v>0</v>
      </c>
      <c r="F365" s="18">
        <v>0</v>
      </c>
      <c r="G365" s="18">
        <v>0</v>
      </c>
      <c r="H365" s="18">
        <v>0</v>
      </c>
      <c r="I365" s="18">
        <v>1</v>
      </c>
      <c r="J365" s="18">
        <v>0</v>
      </c>
      <c r="K365" s="18">
        <v>2</v>
      </c>
      <c r="T365" s="3">
        <v>3</v>
      </c>
      <c r="U365" s="3">
        <v>5</v>
      </c>
      <c r="V365" s="3">
        <v>3</v>
      </c>
      <c r="X365" s="2" t="s">
        <v>893</v>
      </c>
      <c r="Y365" s="18">
        <v>0</v>
      </c>
      <c r="Z365" s="18">
        <v>1</v>
      </c>
      <c r="AA365" s="18">
        <v>0</v>
      </c>
      <c r="AB365" s="18">
        <v>0</v>
      </c>
      <c r="AC365" s="18">
        <v>0</v>
      </c>
      <c r="AD365" s="18">
        <v>0</v>
      </c>
      <c r="AE365" s="18">
        <v>0</v>
      </c>
      <c r="AN365" s="3">
        <v>1</v>
      </c>
      <c r="AO365" s="3">
        <v>2</v>
      </c>
      <c r="AP365" s="3">
        <v>2</v>
      </c>
      <c r="AR365" s="2" t="s">
        <v>911</v>
      </c>
    </row>
    <row r="366" spans="1:44" ht="12.75" customHeight="1">
      <c r="A366" s="4">
        <f>DATE(69,5,1)</f>
        <v>25324</v>
      </c>
      <c r="C366" s="2" t="s">
        <v>371</v>
      </c>
      <c r="E366" s="18">
        <v>0</v>
      </c>
      <c r="F366" s="18">
        <v>0</v>
      </c>
      <c r="G366" s="18">
        <v>1</v>
      </c>
      <c r="H366" s="18">
        <v>0</v>
      </c>
      <c r="I366" s="18">
        <v>0</v>
      </c>
      <c r="J366" s="18">
        <v>0</v>
      </c>
      <c r="K366" s="18">
        <v>0</v>
      </c>
      <c r="L366" s="18">
        <v>1</v>
      </c>
      <c r="T366" s="3">
        <v>2</v>
      </c>
      <c r="U366" s="3">
        <v>2</v>
      </c>
      <c r="V366" s="3">
        <v>2</v>
      </c>
      <c r="X366" s="2" t="s">
        <v>912</v>
      </c>
      <c r="Y366" s="18">
        <v>0</v>
      </c>
      <c r="Z366" s="18">
        <v>0</v>
      </c>
      <c r="AA366" s="18">
        <v>0</v>
      </c>
      <c r="AB366" s="18">
        <v>1</v>
      </c>
      <c r="AC366" s="18">
        <v>0</v>
      </c>
      <c r="AD366" s="18">
        <v>0</v>
      </c>
      <c r="AE366" s="18">
        <v>0</v>
      </c>
      <c r="AF366" s="18">
        <v>0</v>
      </c>
      <c r="AN366" s="3">
        <v>1</v>
      </c>
      <c r="AO366" s="3">
        <v>2</v>
      </c>
      <c r="AP366" s="3">
        <v>4</v>
      </c>
      <c r="AR366" s="2" t="s">
        <v>913</v>
      </c>
    </row>
    <row r="367" spans="1:44" ht="12.75" customHeight="1">
      <c r="A367" s="4">
        <f>DATE(69,5,6)</f>
        <v>25329</v>
      </c>
      <c r="C367" s="2" t="s">
        <v>331</v>
      </c>
      <c r="E367" s="18">
        <v>0</v>
      </c>
      <c r="F367" s="18">
        <v>2</v>
      </c>
      <c r="G367" s="18">
        <v>0</v>
      </c>
      <c r="H367" s="18">
        <v>1</v>
      </c>
      <c r="I367" s="18">
        <v>2</v>
      </c>
      <c r="J367" s="18">
        <v>0</v>
      </c>
      <c r="K367" s="18">
        <v>0</v>
      </c>
      <c r="T367" s="3">
        <v>5</v>
      </c>
      <c r="U367" s="3">
        <v>7</v>
      </c>
      <c r="V367" s="3">
        <v>1</v>
      </c>
      <c r="X367" s="2" t="s">
        <v>893</v>
      </c>
      <c r="Y367" s="18">
        <v>0</v>
      </c>
      <c r="Z367" s="18">
        <v>0</v>
      </c>
      <c r="AA367" s="18">
        <v>0</v>
      </c>
      <c r="AB367" s="18">
        <v>0</v>
      </c>
      <c r="AC367" s="18">
        <v>2</v>
      </c>
      <c r="AD367" s="18">
        <v>0</v>
      </c>
      <c r="AE367" s="18">
        <v>0</v>
      </c>
      <c r="AN367" s="3">
        <v>2</v>
      </c>
      <c r="AO367" s="3">
        <v>4</v>
      </c>
      <c r="AP367" s="3">
        <v>0</v>
      </c>
      <c r="AR367" s="2" t="s">
        <v>897</v>
      </c>
    </row>
    <row r="368" spans="1:44" ht="12.75" customHeight="1">
      <c r="A368" s="4">
        <f>DATE(69,5,13)</f>
        <v>25336</v>
      </c>
      <c r="B368" s="2" t="s">
        <v>152</v>
      </c>
      <c r="C368" s="2" t="s">
        <v>371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1</v>
      </c>
      <c r="K368" s="18">
        <v>3</v>
      </c>
      <c r="T368" s="3">
        <v>4</v>
      </c>
      <c r="U368" s="3">
        <v>4</v>
      </c>
      <c r="V368" s="3">
        <v>2</v>
      </c>
      <c r="X368" s="2" t="s">
        <v>893</v>
      </c>
      <c r="Y368" s="18">
        <v>0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N368" s="3">
        <v>0</v>
      </c>
      <c r="AO368" s="3">
        <v>1</v>
      </c>
      <c r="AP368" s="3">
        <v>4</v>
      </c>
      <c r="AR368" s="2" t="s">
        <v>914</v>
      </c>
    </row>
    <row r="369" spans="1:44" ht="12.75" customHeight="1">
      <c r="A369" s="4">
        <f>DATE(69,5,15)</f>
        <v>25338</v>
      </c>
      <c r="C369" s="2" t="s">
        <v>169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2</v>
      </c>
      <c r="T369" s="3">
        <v>2</v>
      </c>
      <c r="U369" s="3">
        <v>8</v>
      </c>
      <c r="V369" s="3">
        <v>5</v>
      </c>
      <c r="X369" s="2" t="s">
        <v>915</v>
      </c>
      <c r="Y369" s="18">
        <v>0</v>
      </c>
      <c r="Z369" s="18">
        <v>1</v>
      </c>
      <c r="AA369" s="18">
        <v>1</v>
      </c>
      <c r="AB369" s="18">
        <v>0</v>
      </c>
      <c r="AC369" s="18">
        <v>1</v>
      </c>
      <c r="AD369" s="18">
        <v>1</v>
      </c>
      <c r="AE369" s="18">
        <v>3</v>
      </c>
      <c r="AN369" s="3">
        <v>7</v>
      </c>
      <c r="AO369" s="3">
        <v>11</v>
      </c>
      <c r="AP369" s="3">
        <v>0</v>
      </c>
      <c r="AR369" s="2" t="s">
        <v>911</v>
      </c>
    </row>
    <row r="370" spans="1:44" ht="12.75" customHeight="1">
      <c r="A370" s="4">
        <f>DATE(69,5,21)</f>
        <v>25344</v>
      </c>
      <c r="B370" s="2" t="s">
        <v>152</v>
      </c>
      <c r="C370" s="2" t="s">
        <v>331</v>
      </c>
      <c r="E370" s="18">
        <v>3</v>
      </c>
      <c r="F370" s="18">
        <v>0</v>
      </c>
      <c r="G370" s="18">
        <v>0</v>
      </c>
      <c r="H370" s="18">
        <v>2</v>
      </c>
      <c r="I370" s="18">
        <v>0</v>
      </c>
      <c r="J370" s="18">
        <v>1</v>
      </c>
      <c r="K370" s="18">
        <v>0</v>
      </c>
      <c r="T370" s="3">
        <v>6</v>
      </c>
      <c r="U370" s="3">
        <v>5</v>
      </c>
      <c r="V370" s="3">
        <v>0</v>
      </c>
      <c r="X370" s="2" t="s">
        <v>893</v>
      </c>
      <c r="Y370" s="18">
        <v>0</v>
      </c>
      <c r="Z370" s="18">
        <v>0</v>
      </c>
      <c r="AA370" s="18">
        <v>2</v>
      </c>
      <c r="AB370" s="18">
        <v>0</v>
      </c>
      <c r="AC370" s="18">
        <v>0</v>
      </c>
      <c r="AD370" s="18">
        <v>0</v>
      </c>
      <c r="AE370" s="18">
        <v>0</v>
      </c>
      <c r="AN370" s="3">
        <v>2</v>
      </c>
      <c r="AO370" s="3">
        <v>4</v>
      </c>
      <c r="AP370" s="3">
        <v>3</v>
      </c>
      <c r="AR370" s="2" t="s">
        <v>897</v>
      </c>
    </row>
    <row r="371" spans="1:44" ht="12.75" customHeight="1">
      <c r="A371" s="4">
        <f>DATE(69,5,23)</f>
        <v>25346</v>
      </c>
      <c r="B371" s="2" t="s">
        <v>152</v>
      </c>
      <c r="C371" s="2" t="s">
        <v>241</v>
      </c>
      <c r="E371" s="18">
        <v>1</v>
      </c>
      <c r="F371" s="18">
        <v>0</v>
      </c>
      <c r="G371" s="18">
        <v>0</v>
      </c>
      <c r="H371" s="18">
        <v>0</v>
      </c>
      <c r="I371" s="18">
        <v>0</v>
      </c>
      <c r="J371" s="18">
        <v>2</v>
      </c>
      <c r="K371" s="18">
        <v>0</v>
      </c>
      <c r="T371" s="3">
        <v>3</v>
      </c>
      <c r="U371" s="3">
        <v>8</v>
      </c>
      <c r="V371" s="3">
        <v>3</v>
      </c>
      <c r="X371" s="2" t="s">
        <v>902</v>
      </c>
      <c r="Y371" s="18"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N371" s="3">
        <v>0</v>
      </c>
      <c r="AO371" s="3">
        <v>1</v>
      </c>
      <c r="AP371" s="3">
        <v>2</v>
      </c>
      <c r="AR371" s="2" t="s">
        <v>916</v>
      </c>
    </row>
    <row r="372" spans="1:44" ht="12.75" customHeight="1">
      <c r="A372" s="4">
        <f>DATE(69,5,26)</f>
        <v>25349</v>
      </c>
      <c r="C372" s="2" t="s">
        <v>236</v>
      </c>
      <c r="D372" s="2" t="s">
        <v>243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1</v>
      </c>
      <c r="K372" s="18">
        <v>0</v>
      </c>
      <c r="T372" s="3">
        <v>1</v>
      </c>
      <c r="U372" s="3">
        <v>3</v>
      </c>
      <c r="V372" s="3">
        <v>9</v>
      </c>
      <c r="X372" s="2" t="s">
        <v>893</v>
      </c>
      <c r="Y372" s="18">
        <v>0</v>
      </c>
      <c r="Z372" s="18">
        <v>0</v>
      </c>
      <c r="AA372" s="18">
        <v>2</v>
      </c>
      <c r="AB372" s="18">
        <v>0</v>
      </c>
      <c r="AC372" s="18">
        <v>0</v>
      </c>
      <c r="AD372" s="18">
        <v>0</v>
      </c>
      <c r="AE372" s="18">
        <v>1</v>
      </c>
      <c r="AN372" s="3">
        <v>3</v>
      </c>
      <c r="AO372" s="3">
        <v>4</v>
      </c>
      <c r="AP372" s="3">
        <v>2</v>
      </c>
      <c r="AR372" s="2" t="s">
        <v>917</v>
      </c>
    </row>
    <row r="373" ht="12.75" customHeight="1">
      <c r="A373" s="4"/>
    </row>
    <row r="374" spans="1:45" ht="12.75" customHeight="1">
      <c r="A374" s="4">
        <f>DATE(70,4,10)</f>
        <v>25668</v>
      </c>
      <c r="B374" s="2" t="s">
        <v>152</v>
      </c>
      <c r="C374" s="2" t="s">
        <v>236</v>
      </c>
      <c r="E374" s="18">
        <v>0</v>
      </c>
      <c r="F374" s="18">
        <v>0</v>
      </c>
      <c r="G374" s="18">
        <v>0</v>
      </c>
      <c r="H374" s="18">
        <v>1</v>
      </c>
      <c r="I374" s="18">
        <v>3</v>
      </c>
      <c r="J374" s="18">
        <v>0</v>
      </c>
      <c r="K374" s="18">
        <v>0</v>
      </c>
      <c r="T374" s="3">
        <v>4</v>
      </c>
      <c r="U374" s="3">
        <v>7</v>
      </c>
      <c r="V374" s="3">
        <v>1</v>
      </c>
      <c r="X374" s="2" t="s">
        <v>915</v>
      </c>
      <c r="Y374" s="18">
        <v>1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N374" s="3">
        <v>1</v>
      </c>
      <c r="AO374" s="3">
        <v>5</v>
      </c>
      <c r="AP374" s="3">
        <v>5</v>
      </c>
      <c r="AR374" s="2" t="s">
        <v>918</v>
      </c>
      <c r="AS374" s="2" t="s">
        <v>731</v>
      </c>
    </row>
    <row r="375" spans="1:47" ht="12.75" customHeight="1">
      <c r="A375" s="4">
        <f>DATE(70,4,15)</f>
        <v>25673</v>
      </c>
      <c r="B375" s="2" t="s">
        <v>152</v>
      </c>
      <c r="C375" s="2" t="s">
        <v>249</v>
      </c>
      <c r="E375" s="18">
        <v>3</v>
      </c>
      <c r="F375" s="18">
        <v>0</v>
      </c>
      <c r="G375" s="18">
        <v>1</v>
      </c>
      <c r="H375" s="18">
        <v>5</v>
      </c>
      <c r="I375" s="18">
        <v>3</v>
      </c>
      <c r="J375" s="18">
        <v>4</v>
      </c>
      <c r="K375" s="18">
        <v>0</v>
      </c>
      <c r="T375" s="3">
        <v>16</v>
      </c>
      <c r="U375" s="3">
        <v>13</v>
      </c>
      <c r="V375" s="3">
        <v>1</v>
      </c>
      <c r="X375" s="2" t="s">
        <v>919</v>
      </c>
      <c r="Y375" s="18">
        <v>0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  <c r="AE375" s="18">
        <v>0</v>
      </c>
      <c r="AN375" s="3">
        <v>0</v>
      </c>
      <c r="AO375" s="3">
        <v>0</v>
      </c>
      <c r="AP375" s="3">
        <v>10</v>
      </c>
      <c r="AR375" s="2" t="s">
        <v>920</v>
      </c>
      <c r="AS375" s="2" t="s">
        <v>250</v>
      </c>
      <c r="AT375" s="2" t="s">
        <v>188</v>
      </c>
      <c r="AU375" s="2" t="s">
        <v>177</v>
      </c>
    </row>
    <row r="376" spans="1:44" ht="12.75" customHeight="1">
      <c r="A376" s="4">
        <f>DATE(70,4,16)</f>
        <v>25674</v>
      </c>
      <c r="B376" s="2" t="s">
        <v>152</v>
      </c>
      <c r="C376" s="2" t="s">
        <v>241</v>
      </c>
      <c r="E376" s="18">
        <v>1</v>
      </c>
      <c r="F376" s="18">
        <v>5</v>
      </c>
      <c r="G376" s="18">
        <v>2</v>
      </c>
      <c r="H376" s="18">
        <v>1</v>
      </c>
      <c r="I376" s="18">
        <v>3</v>
      </c>
      <c r="J376" s="18">
        <v>0</v>
      </c>
      <c r="K376" s="18">
        <v>0</v>
      </c>
      <c r="T376" s="3">
        <v>12</v>
      </c>
      <c r="U376" s="3">
        <v>13</v>
      </c>
      <c r="V376" s="3">
        <v>2</v>
      </c>
      <c r="X376" s="2" t="s">
        <v>921</v>
      </c>
      <c r="Y376" s="18">
        <v>0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N376" s="3">
        <v>0</v>
      </c>
      <c r="AO376" s="3">
        <v>4</v>
      </c>
      <c r="AP376" s="3">
        <v>5</v>
      </c>
      <c r="AR376" s="2" t="s">
        <v>922</v>
      </c>
    </row>
    <row r="377" spans="1:44" ht="12.75" customHeight="1">
      <c r="A377" s="4">
        <f>DATE(70,4,21)</f>
        <v>25679</v>
      </c>
      <c r="C377" s="2" t="s">
        <v>331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1</v>
      </c>
      <c r="K377" s="18">
        <v>0</v>
      </c>
      <c r="T377" s="3">
        <v>1</v>
      </c>
      <c r="U377" s="3">
        <v>1</v>
      </c>
      <c r="V377" s="3">
        <v>1</v>
      </c>
      <c r="X377" s="2" t="s">
        <v>902</v>
      </c>
      <c r="Y377" s="18">
        <v>1</v>
      </c>
      <c r="Z377" s="18">
        <v>0</v>
      </c>
      <c r="AA377" s="18">
        <v>0</v>
      </c>
      <c r="AB377" s="18">
        <v>0</v>
      </c>
      <c r="AC377" s="18">
        <v>1</v>
      </c>
      <c r="AD377" s="18">
        <v>0</v>
      </c>
      <c r="AE377" s="18">
        <v>0</v>
      </c>
      <c r="AN377" s="3">
        <v>2</v>
      </c>
      <c r="AO377" s="3">
        <v>3</v>
      </c>
      <c r="AP377" s="3">
        <v>0</v>
      </c>
      <c r="AR377" s="2" t="s">
        <v>897</v>
      </c>
    </row>
    <row r="378" spans="1:44" ht="12.75" customHeight="1">
      <c r="A378" s="4">
        <f>DATE(70,4,30)</f>
        <v>25688</v>
      </c>
      <c r="B378" s="2" t="s">
        <v>152</v>
      </c>
      <c r="C378" s="2" t="s">
        <v>371</v>
      </c>
      <c r="E378" s="18">
        <v>0</v>
      </c>
      <c r="F378" s="18">
        <v>0</v>
      </c>
      <c r="G378" s="18">
        <v>0</v>
      </c>
      <c r="H378" s="18">
        <v>2</v>
      </c>
      <c r="I378" s="18">
        <v>1</v>
      </c>
      <c r="J378" s="18">
        <v>3</v>
      </c>
      <c r="K378" s="18">
        <v>0</v>
      </c>
      <c r="T378" s="3">
        <v>6</v>
      </c>
      <c r="U378" s="3">
        <v>12</v>
      </c>
      <c r="V378" s="3">
        <v>2</v>
      </c>
      <c r="X378" s="2" t="s">
        <v>898</v>
      </c>
      <c r="Y378" s="18">
        <v>0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N378" s="3">
        <v>0</v>
      </c>
      <c r="AO378" s="3">
        <v>4</v>
      </c>
      <c r="AP378" s="3">
        <v>2</v>
      </c>
      <c r="AR378" s="2" t="s">
        <v>923</v>
      </c>
    </row>
    <row r="379" spans="1:44" ht="12.75" customHeight="1">
      <c r="A379" s="4">
        <f>DATE(70,5,4)</f>
        <v>25692</v>
      </c>
      <c r="C379" s="2" t="s">
        <v>169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1</v>
      </c>
      <c r="K379" s="18">
        <v>0</v>
      </c>
      <c r="T379" s="3">
        <v>1</v>
      </c>
      <c r="U379" s="3">
        <v>5</v>
      </c>
      <c r="V379" s="3">
        <v>3</v>
      </c>
      <c r="X379" s="2" t="s">
        <v>902</v>
      </c>
      <c r="Y379" s="18">
        <v>0</v>
      </c>
      <c r="Z379" s="18">
        <v>0</v>
      </c>
      <c r="AA379" s="18">
        <v>3</v>
      </c>
      <c r="AB379" s="18">
        <v>0</v>
      </c>
      <c r="AC379" s="18">
        <v>0</v>
      </c>
      <c r="AD379" s="18">
        <v>1</v>
      </c>
      <c r="AE379" s="18">
        <v>0</v>
      </c>
      <c r="AN379" s="3">
        <v>4</v>
      </c>
      <c r="AO379" s="3">
        <v>4</v>
      </c>
      <c r="AP379" s="3">
        <v>3</v>
      </c>
      <c r="AR379" s="2" t="s">
        <v>911</v>
      </c>
    </row>
    <row r="380" spans="1:44" ht="12.75" customHeight="1">
      <c r="A380" s="4">
        <f>DATE(70,5,5)</f>
        <v>25693</v>
      </c>
      <c r="C380" s="2" t="s">
        <v>249</v>
      </c>
      <c r="E380" s="18">
        <v>4</v>
      </c>
      <c r="F380" s="18">
        <v>1</v>
      </c>
      <c r="G380" s="18">
        <v>5</v>
      </c>
      <c r="H380" s="18">
        <v>2</v>
      </c>
      <c r="I380" s="18">
        <v>2</v>
      </c>
      <c r="J380" s="18">
        <v>6</v>
      </c>
      <c r="K380" s="18" t="s">
        <v>162</v>
      </c>
      <c r="T380" s="3">
        <v>20</v>
      </c>
      <c r="U380" s="3">
        <v>14</v>
      </c>
      <c r="V380" s="3">
        <v>3</v>
      </c>
      <c r="X380" s="2" t="s">
        <v>924</v>
      </c>
      <c r="Y380" s="18">
        <v>0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  <c r="AE380" s="18">
        <v>1</v>
      </c>
      <c r="AN380" s="3">
        <v>1</v>
      </c>
      <c r="AO380" s="3">
        <v>3</v>
      </c>
      <c r="AP380" s="3">
        <v>9</v>
      </c>
      <c r="AR380" s="2" t="s">
        <v>925</v>
      </c>
    </row>
    <row r="381" spans="1:44" ht="12.75" customHeight="1">
      <c r="A381" s="4">
        <f>DATE(70,5,7)</f>
        <v>25695</v>
      </c>
      <c r="C381" s="2" t="s">
        <v>241</v>
      </c>
      <c r="E381" s="18">
        <v>1</v>
      </c>
      <c r="F381" s="18">
        <v>0</v>
      </c>
      <c r="G381" s="18">
        <v>4</v>
      </c>
      <c r="H381" s="18">
        <v>0</v>
      </c>
      <c r="I381" s="18">
        <v>0</v>
      </c>
      <c r="J381" s="18">
        <v>0</v>
      </c>
      <c r="K381" s="18">
        <v>0</v>
      </c>
      <c r="T381" s="3">
        <v>5</v>
      </c>
      <c r="U381" s="3">
        <v>6</v>
      </c>
      <c r="V381" s="3">
        <v>0</v>
      </c>
      <c r="X381" s="2" t="s">
        <v>898</v>
      </c>
      <c r="Y381" s="18">
        <v>0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  <c r="AE381" s="18">
        <v>0</v>
      </c>
      <c r="AN381" s="3">
        <v>0</v>
      </c>
      <c r="AO381" s="3">
        <v>6</v>
      </c>
      <c r="AP381" s="3">
        <v>0</v>
      </c>
      <c r="AR381" s="2" t="s">
        <v>926</v>
      </c>
    </row>
    <row r="382" spans="1:44" ht="12.75" customHeight="1">
      <c r="A382" s="4">
        <f>DATE(70,5,12)</f>
        <v>25700</v>
      </c>
      <c r="C382" s="2" t="s">
        <v>371</v>
      </c>
      <c r="E382" s="18">
        <v>1</v>
      </c>
      <c r="F382" s="18">
        <v>0</v>
      </c>
      <c r="G382" s="18">
        <v>0</v>
      </c>
      <c r="H382" s="18">
        <v>0</v>
      </c>
      <c r="I382" s="18">
        <v>0</v>
      </c>
      <c r="J382" s="18">
        <v>1</v>
      </c>
      <c r="K382" s="18" t="s">
        <v>162</v>
      </c>
      <c r="T382" s="3">
        <v>2</v>
      </c>
      <c r="U382" s="3">
        <v>7</v>
      </c>
      <c r="V382" s="3">
        <v>4</v>
      </c>
      <c r="X382" s="2" t="s">
        <v>898</v>
      </c>
      <c r="Y382" s="18">
        <v>0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N382" s="3">
        <v>0</v>
      </c>
      <c r="AO382" s="3">
        <v>4</v>
      </c>
      <c r="AP382" s="3">
        <v>5</v>
      </c>
      <c r="AR382" s="2" t="s">
        <v>927</v>
      </c>
    </row>
    <row r="383" spans="1:44" ht="12.75" customHeight="1">
      <c r="A383" s="4">
        <f>DATE(70,5,14)</f>
        <v>25702</v>
      </c>
      <c r="B383" s="2" t="s">
        <v>152</v>
      </c>
      <c r="C383" s="2" t="s">
        <v>169</v>
      </c>
      <c r="E383" s="18">
        <v>0</v>
      </c>
      <c r="F383" s="18">
        <v>0</v>
      </c>
      <c r="G383" s="18">
        <v>0</v>
      </c>
      <c r="H383" s="18">
        <v>3</v>
      </c>
      <c r="I383" s="18">
        <v>0</v>
      </c>
      <c r="J383" s="18">
        <v>0</v>
      </c>
      <c r="K383" s="18">
        <v>0</v>
      </c>
      <c r="T383" s="3">
        <v>3</v>
      </c>
      <c r="U383" s="3">
        <v>6</v>
      </c>
      <c r="V383" s="3">
        <v>2</v>
      </c>
      <c r="X383" s="2" t="s">
        <v>902</v>
      </c>
      <c r="Y383" s="18">
        <v>0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  <c r="AE383" s="18">
        <v>0</v>
      </c>
      <c r="AN383" s="3">
        <v>0</v>
      </c>
      <c r="AO383" s="3">
        <v>4</v>
      </c>
      <c r="AP383" s="3">
        <v>3</v>
      </c>
      <c r="AR383" s="2" t="s">
        <v>911</v>
      </c>
    </row>
    <row r="384" spans="1:44" ht="12.75" customHeight="1">
      <c r="A384" s="4">
        <f>DATE(70,5,20)</f>
        <v>25708</v>
      </c>
      <c r="C384" s="2" t="s">
        <v>236</v>
      </c>
      <c r="E384" s="18">
        <v>0</v>
      </c>
      <c r="F384" s="18">
        <v>1</v>
      </c>
      <c r="G384" s="18">
        <v>0</v>
      </c>
      <c r="H384" s="18">
        <v>1</v>
      </c>
      <c r="I384" s="18">
        <v>0</v>
      </c>
      <c r="J384" s="18">
        <v>1</v>
      </c>
      <c r="K384" s="18" t="s">
        <v>162</v>
      </c>
      <c r="T384" s="3">
        <v>3</v>
      </c>
      <c r="U384" s="3">
        <v>6</v>
      </c>
      <c r="V384" s="3">
        <v>0</v>
      </c>
      <c r="X384" s="2" t="s">
        <v>924</v>
      </c>
      <c r="Y384" s="18">
        <v>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N384" s="3">
        <v>0</v>
      </c>
      <c r="AO384" s="3">
        <v>0</v>
      </c>
      <c r="AP384" s="3">
        <v>1</v>
      </c>
      <c r="AR384" s="2" t="s">
        <v>928</v>
      </c>
    </row>
    <row r="385" spans="1:44" ht="12.75" customHeight="1">
      <c r="A385" s="4">
        <f>DATE(70,5,21)</f>
        <v>25709</v>
      </c>
      <c r="B385" s="2" t="s">
        <v>152</v>
      </c>
      <c r="C385" s="2" t="s">
        <v>331</v>
      </c>
      <c r="E385" s="18">
        <v>0</v>
      </c>
      <c r="F385" s="18">
        <v>0</v>
      </c>
      <c r="G385" s="18">
        <v>0</v>
      </c>
      <c r="H385" s="18">
        <v>0</v>
      </c>
      <c r="I385" s="18">
        <v>1</v>
      </c>
      <c r="J385" s="18">
        <v>0</v>
      </c>
      <c r="K385" s="18">
        <v>0</v>
      </c>
      <c r="T385" s="3">
        <v>1</v>
      </c>
      <c r="U385" s="3">
        <v>4</v>
      </c>
      <c r="V385" s="3">
        <v>1</v>
      </c>
      <c r="X385" s="2" t="s">
        <v>902</v>
      </c>
      <c r="Y385" s="18">
        <v>0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  <c r="AE385" s="18">
        <v>0</v>
      </c>
      <c r="AN385" s="3">
        <v>0</v>
      </c>
      <c r="AO385" s="3">
        <v>1</v>
      </c>
      <c r="AP385" s="3">
        <v>1</v>
      </c>
      <c r="AR385" s="2" t="s">
        <v>897</v>
      </c>
    </row>
    <row r="386" spans="1:44" ht="12.75" customHeight="1">
      <c r="A386" s="4">
        <f>DATE(70,5,25)</f>
        <v>25713</v>
      </c>
      <c r="B386" s="2" t="s">
        <v>152</v>
      </c>
      <c r="C386" s="2" t="s">
        <v>331</v>
      </c>
      <c r="D386" s="2" t="s">
        <v>240</v>
      </c>
      <c r="E386" s="18">
        <v>0</v>
      </c>
      <c r="F386" s="18">
        <v>0</v>
      </c>
      <c r="G386" s="18">
        <v>1</v>
      </c>
      <c r="H386" s="18">
        <v>0</v>
      </c>
      <c r="I386" s="18">
        <v>0</v>
      </c>
      <c r="J386" s="18">
        <v>1</v>
      </c>
      <c r="T386" s="3">
        <v>2</v>
      </c>
      <c r="U386" s="3">
        <v>8</v>
      </c>
      <c r="V386" s="3">
        <v>1</v>
      </c>
      <c r="X386" s="2" t="s">
        <v>921</v>
      </c>
      <c r="Y386" s="18">
        <v>0</v>
      </c>
      <c r="Z386" s="18">
        <v>0</v>
      </c>
      <c r="AA386" s="18">
        <v>0</v>
      </c>
      <c r="AB386" s="18">
        <v>2</v>
      </c>
      <c r="AC386" s="18">
        <v>0</v>
      </c>
      <c r="AD386" s="18">
        <v>0</v>
      </c>
      <c r="AN386" s="3">
        <v>2</v>
      </c>
      <c r="AO386" s="3">
        <v>5</v>
      </c>
      <c r="AP386" s="3">
        <v>2</v>
      </c>
      <c r="AR386" s="2" t="s">
        <v>929</v>
      </c>
    </row>
    <row r="387" spans="1:44" ht="12.75" customHeight="1">
      <c r="A387" s="4">
        <f>DATE(70,5,27)</f>
        <v>25715</v>
      </c>
      <c r="B387" s="2" t="s">
        <v>152</v>
      </c>
      <c r="C387" s="2" t="s">
        <v>331</v>
      </c>
      <c r="D387" s="2" t="s">
        <v>240</v>
      </c>
      <c r="E387" s="18">
        <v>0</v>
      </c>
      <c r="F387" s="18">
        <v>1</v>
      </c>
      <c r="G387" s="18">
        <v>0</v>
      </c>
      <c r="H387" s="18">
        <v>2</v>
      </c>
      <c r="I387" s="18">
        <v>0</v>
      </c>
      <c r="J387" s="18">
        <v>0</v>
      </c>
      <c r="K387" s="18">
        <v>0</v>
      </c>
      <c r="T387" s="3">
        <v>3</v>
      </c>
      <c r="U387" s="3">
        <v>6</v>
      </c>
      <c r="V387" s="3">
        <v>2</v>
      </c>
      <c r="X387" s="2" t="s">
        <v>924</v>
      </c>
      <c r="Y387" s="18">
        <v>0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N387" s="3">
        <v>0</v>
      </c>
      <c r="AO387" s="3">
        <v>3</v>
      </c>
      <c r="AP387" s="3">
        <v>4</v>
      </c>
      <c r="AR387" s="2" t="s">
        <v>930</v>
      </c>
    </row>
    <row r="388" spans="1:44" ht="12.75" customHeight="1">
      <c r="A388" s="4">
        <f>DATE(70,5,28)</f>
        <v>25716</v>
      </c>
      <c r="C388" s="2" t="s">
        <v>169</v>
      </c>
      <c r="D388" s="2" t="s">
        <v>240</v>
      </c>
      <c r="E388" s="18">
        <v>2</v>
      </c>
      <c r="F388" s="18">
        <v>0</v>
      </c>
      <c r="G388" s="18">
        <v>0</v>
      </c>
      <c r="H388" s="18">
        <v>0</v>
      </c>
      <c r="I388" s="18">
        <v>0</v>
      </c>
      <c r="J388" s="18">
        <v>3</v>
      </c>
      <c r="K388" s="18" t="s">
        <v>162</v>
      </c>
      <c r="T388" s="3">
        <v>5</v>
      </c>
      <c r="U388" s="3">
        <v>6</v>
      </c>
      <c r="V388" s="3">
        <v>1</v>
      </c>
      <c r="X388" s="2" t="s">
        <v>902</v>
      </c>
      <c r="Y388" s="18">
        <v>0</v>
      </c>
      <c r="Z388" s="18">
        <v>0</v>
      </c>
      <c r="AA388" s="18">
        <v>1</v>
      </c>
      <c r="AB388" s="18">
        <v>0</v>
      </c>
      <c r="AC388" s="18">
        <v>0</v>
      </c>
      <c r="AD388" s="18">
        <v>0</v>
      </c>
      <c r="AE388" s="18">
        <v>0</v>
      </c>
      <c r="AN388" s="3">
        <v>1</v>
      </c>
      <c r="AO388" s="3">
        <v>3</v>
      </c>
      <c r="AP388" s="3">
        <v>3</v>
      </c>
      <c r="AR388" s="2" t="s">
        <v>931</v>
      </c>
    </row>
    <row r="389" spans="1:44" ht="12.75" customHeight="1">
      <c r="A389" s="4">
        <f>DATE(70,6,1)</f>
        <v>25720</v>
      </c>
      <c r="B389" s="2" t="s">
        <v>239</v>
      </c>
      <c r="C389" s="2" t="s">
        <v>373</v>
      </c>
      <c r="D389" s="2" t="s">
        <v>243</v>
      </c>
      <c r="E389" s="18">
        <v>3</v>
      </c>
      <c r="F389" s="18">
        <v>0</v>
      </c>
      <c r="G389" s="18">
        <v>0</v>
      </c>
      <c r="H389" s="18">
        <v>0</v>
      </c>
      <c r="I389" s="18">
        <v>1</v>
      </c>
      <c r="J389" s="18">
        <v>0</v>
      </c>
      <c r="K389" s="18">
        <v>1</v>
      </c>
      <c r="T389" s="3">
        <v>5</v>
      </c>
      <c r="U389" s="3">
        <v>9</v>
      </c>
      <c r="V389" s="3">
        <v>1</v>
      </c>
      <c r="X389" s="2" t="s">
        <v>924</v>
      </c>
      <c r="Y389" s="18">
        <v>0</v>
      </c>
      <c r="Z389" s="18">
        <v>0</v>
      </c>
      <c r="AA389" s="18">
        <v>3</v>
      </c>
      <c r="AB389" s="18">
        <v>0</v>
      </c>
      <c r="AC389" s="18">
        <v>0</v>
      </c>
      <c r="AD389" s="18">
        <v>0</v>
      </c>
      <c r="AE389" s="18">
        <v>0</v>
      </c>
      <c r="AN389" s="3">
        <v>3</v>
      </c>
      <c r="AO389" s="3">
        <v>8</v>
      </c>
      <c r="AP389" s="3">
        <v>4</v>
      </c>
      <c r="AR389" s="2" t="s">
        <v>933</v>
      </c>
    </row>
    <row r="390" spans="1:44" ht="12.75" customHeight="1">
      <c r="A390" s="4">
        <f>DATE(70,6,4)</f>
        <v>25723</v>
      </c>
      <c r="B390" s="2" t="s">
        <v>239</v>
      </c>
      <c r="C390" s="2" t="s">
        <v>374</v>
      </c>
      <c r="D390" s="2" t="s">
        <v>243</v>
      </c>
      <c r="E390" s="18">
        <v>0</v>
      </c>
      <c r="F390" s="18">
        <v>0</v>
      </c>
      <c r="G390" s="18">
        <v>1</v>
      </c>
      <c r="H390" s="18">
        <v>0</v>
      </c>
      <c r="I390" s="18">
        <v>0</v>
      </c>
      <c r="J390" s="18">
        <v>0</v>
      </c>
      <c r="K390" s="18">
        <v>0</v>
      </c>
      <c r="T390" s="3">
        <v>1</v>
      </c>
      <c r="U390" s="3">
        <v>3</v>
      </c>
      <c r="V390" s="3">
        <v>0</v>
      </c>
      <c r="X390" s="2" t="s">
        <v>915</v>
      </c>
      <c r="Y390" s="18">
        <v>0</v>
      </c>
      <c r="Z390" s="18">
        <v>0</v>
      </c>
      <c r="AA390" s="18">
        <v>0</v>
      </c>
      <c r="AB390" s="18">
        <v>0</v>
      </c>
      <c r="AC390" s="18">
        <v>3</v>
      </c>
      <c r="AD390" s="18">
        <v>0</v>
      </c>
      <c r="AE390" s="18" t="s">
        <v>162</v>
      </c>
      <c r="AN390" s="3">
        <v>3</v>
      </c>
      <c r="AO390" s="3">
        <v>7</v>
      </c>
      <c r="AP390" s="3">
        <v>1</v>
      </c>
      <c r="AR390" s="2" t="s">
        <v>934</v>
      </c>
    </row>
    <row r="391" ht="12.75" customHeight="1">
      <c r="A391" s="4"/>
    </row>
    <row r="392" spans="1:45" ht="12.75" customHeight="1">
      <c r="A392" s="4">
        <f>DATE(71,4,8)</f>
        <v>26031</v>
      </c>
      <c r="C392" s="2" t="s">
        <v>236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3</v>
      </c>
      <c r="K392" s="18">
        <v>0</v>
      </c>
      <c r="T392" s="3">
        <v>3</v>
      </c>
      <c r="U392" s="3">
        <v>5</v>
      </c>
      <c r="V392" s="3">
        <v>5</v>
      </c>
      <c r="X392" s="2" t="s">
        <v>935</v>
      </c>
      <c r="Y392" s="18">
        <v>0</v>
      </c>
      <c r="Z392" s="18">
        <v>0</v>
      </c>
      <c r="AA392" s="18">
        <v>0</v>
      </c>
      <c r="AB392" s="18">
        <v>3</v>
      </c>
      <c r="AC392" s="18">
        <v>1</v>
      </c>
      <c r="AD392" s="18">
        <v>0</v>
      </c>
      <c r="AE392" s="18">
        <v>0</v>
      </c>
      <c r="AN392" s="3">
        <v>4</v>
      </c>
      <c r="AO392" s="3">
        <v>3</v>
      </c>
      <c r="AP392" s="3">
        <v>2</v>
      </c>
      <c r="AR392" s="2" t="s">
        <v>936</v>
      </c>
      <c r="AS392" s="2" t="s">
        <v>909</v>
      </c>
    </row>
    <row r="393" spans="1:46" ht="12.75" customHeight="1">
      <c r="A393" s="4">
        <f>DATE(71,4,13)</f>
        <v>26036</v>
      </c>
      <c r="C393" s="2" t="s">
        <v>249</v>
      </c>
      <c r="E393" s="18">
        <v>3</v>
      </c>
      <c r="F393" s="18">
        <v>0</v>
      </c>
      <c r="G393" s="18">
        <v>3</v>
      </c>
      <c r="H393" s="18">
        <v>0</v>
      </c>
      <c r="I393" s="18">
        <v>0</v>
      </c>
      <c r="J393" s="18">
        <v>0</v>
      </c>
      <c r="K393" s="18" t="s">
        <v>162</v>
      </c>
      <c r="T393" s="3">
        <v>6</v>
      </c>
      <c r="U393" s="3">
        <v>5</v>
      </c>
      <c r="V393" s="3">
        <v>5</v>
      </c>
      <c r="X393" s="2" t="s">
        <v>937</v>
      </c>
      <c r="Y393" s="18">
        <v>0</v>
      </c>
      <c r="Z393" s="18">
        <v>3</v>
      </c>
      <c r="AA393" s="18">
        <v>0</v>
      </c>
      <c r="AB393" s="18">
        <v>0</v>
      </c>
      <c r="AC393" s="18">
        <v>0</v>
      </c>
      <c r="AD393" s="18">
        <v>0</v>
      </c>
      <c r="AE393" s="18">
        <v>0</v>
      </c>
      <c r="AN393" s="3">
        <v>3</v>
      </c>
      <c r="AO393" s="3">
        <v>3</v>
      </c>
      <c r="AP393" s="3">
        <v>3</v>
      </c>
      <c r="AR393" s="2" t="s">
        <v>938</v>
      </c>
      <c r="AS393" s="2" t="s">
        <v>176</v>
      </c>
      <c r="AT393" s="2" t="s">
        <v>197</v>
      </c>
    </row>
    <row r="394" spans="1:44" ht="12.75" customHeight="1">
      <c r="A394" s="4">
        <f>DATE(71,4,16)</f>
        <v>26039</v>
      </c>
      <c r="C394" s="2" t="s">
        <v>241</v>
      </c>
      <c r="E394" s="18">
        <v>0</v>
      </c>
      <c r="F394" s="18">
        <v>0</v>
      </c>
      <c r="G394" s="18">
        <v>1</v>
      </c>
      <c r="H394" s="18">
        <v>0</v>
      </c>
      <c r="I394" s="18">
        <v>2</v>
      </c>
      <c r="J394" s="18">
        <v>0</v>
      </c>
      <c r="K394" s="18">
        <v>0</v>
      </c>
      <c r="L394" s="18">
        <v>1</v>
      </c>
      <c r="T394" s="3">
        <v>4</v>
      </c>
      <c r="U394" s="3">
        <v>4</v>
      </c>
      <c r="V394" s="3">
        <v>4</v>
      </c>
      <c r="X394" s="2" t="s">
        <v>939</v>
      </c>
      <c r="Y394" s="18">
        <v>0</v>
      </c>
      <c r="Z394" s="18">
        <v>0</v>
      </c>
      <c r="AA394" s="18">
        <v>3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N394" s="3">
        <v>3</v>
      </c>
      <c r="AO394" s="3">
        <v>5</v>
      </c>
      <c r="AP394" s="3">
        <v>2</v>
      </c>
      <c r="AR394" s="2" t="s">
        <v>940</v>
      </c>
    </row>
    <row r="395" spans="1:44" ht="12.75" customHeight="1">
      <c r="A395" s="4">
        <f>DATE(71,4,20)</f>
        <v>26043</v>
      </c>
      <c r="B395" s="2" t="s">
        <v>152</v>
      </c>
      <c r="C395" s="2" t="s">
        <v>331</v>
      </c>
      <c r="E395" s="18">
        <v>0</v>
      </c>
      <c r="F395" s="18">
        <v>0</v>
      </c>
      <c r="G395" s="18">
        <v>1</v>
      </c>
      <c r="H395" s="18">
        <v>6</v>
      </c>
      <c r="I395" s="18">
        <v>0</v>
      </c>
      <c r="J395" s="18">
        <v>1</v>
      </c>
      <c r="K395" s="18">
        <v>2</v>
      </c>
      <c r="T395" s="3">
        <v>10</v>
      </c>
      <c r="U395" s="3">
        <v>12</v>
      </c>
      <c r="V395" s="3">
        <v>2</v>
      </c>
      <c r="X395" s="2" t="s">
        <v>941</v>
      </c>
      <c r="Y395" s="18">
        <v>0</v>
      </c>
      <c r="Z395" s="18">
        <v>0</v>
      </c>
      <c r="AA395" s="18">
        <v>0</v>
      </c>
      <c r="AB395" s="18">
        <v>1</v>
      </c>
      <c r="AC395" s="18">
        <v>1</v>
      </c>
      <c r="AD395" s="18">
        <v>0</v>
      </c>
      <c r="AE395" s="18">
        <v>1</v>
      </c>
      <c r="AN395" s="3">
        <v>3</v>
      </c>
      <c r="AO395" s="3">
        <v>8</v>
      </c>
      <c r="AP395" s="3">
        <v>4</v>
      </c>
      <c r="AR395" s="2" t="s">
        <v>942</v>
      </c>
    </row>
    <row r="396" spans="1:44" ht="12.75" customHeight="1">
      <c r="A396" s="4">
        <f>DATE(71,4,22)</f>
        <v>26045</v>
      </c>
      <c r="B396" s="2" t="s">
        <v>152</v>
      </c>
      <c r="C396" s="2" t="s">
        <v>169</v>
      </c>
      <c r="E396" s="18">
        <v>3</v>
      </c>
      <c r="F396" s="18">
        <v>0</v>
      </c>
      <c r="G396" s="18">
        <v>5</v>
      </c>
      <c r="H396" s="18">
        <v>0</v>
      </c>
      <c r="I396" s="18">
        <v>0</v>
      </c>
      <c r="J396" s="18">
        <v>3</v>
      </c>
      <c r="K396" s="18">
        <v>1</v>
      </c>
      <c r="T396" s="3">
        <v>12</v>
      </c>
      <c r="U396" s="3">
        <v>11</v>
      </c>
      <c r="V396" s="3">
        <v>0</v>
      </c>
      <c r="X396" s="2" t="s">
        <v>949</v>
      </c>
      <c r="Y396" s="18">
        <v>0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N396" s="3">
        <v>0</v>
      </c>
      <c r="AO396" s="3">
        <v>2</v>
      </c>
      <c r="AP396" s="3">
        <v>3</v>
      </c>
      <c r="AR396" s="2" t="s">
        <v>950</v>
      </c>
    </row>
    <row r="397" spans="1:44" ht="12.75" customHeight="1">
      <c r="A397" s="4">
        <f>DATE(71,4,27)</f>
        <v>26050</v>
      </c>
      <c r="C397" s="2" t="s">
        <v>375</v>
      </c>
      <c r="E397" s="18">
        <v>3</v>
      </c>
      <c r="F397" s="18">
        <v>2</v>
      </c>
      <c r="G397" s="18">
        <v>0</v>
      </c>
      <c r="H397" s="18">
        <v>0</v>
      </c>
      <c r="I397" s="18">
        <v>0</v>
      </c>
      <c r="J397" s="18">
        <v>0</v>
      </c>
      <c r="K397" s="18" t="s">
        <v>162</v>
      </c>
      <c r="T397" s="3">
        <v>5</v>
      </c>
      <c r="U397" s="3">
        <v>4</v>
      </c>
      <c r="V397" s="3">
        <v>1</v>
      </c>
      <c r="X397" s="2" t="s">
        <v>951</v>
      </c>
      <c r="Y397" s="18">
        <v>0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  <c r="AE397" s="18">
        <v>0</v>
      </c>
      <c r="AN397" s="3">
        <v>0</v>
      </c>
      <c r="AO397" s="3">
        <v>4</v>
      </c>
      <c r="AP397" s="3">
        <v>7</v>
      </c>
      <c r="AR397" s="2" t="s">
        <v>952</v>
      </c>
    </row>
    <row r="398" spans="1:44" ht="12.75" customHeight="1">
      <c r="A398" s="4">
        <f>DATE(71,4,29)</f>
        <v>26052</v>
      </c>
      <c r="C398" s="2" t="s">
        <v>371</v>
      </c>
      <c r="E398" s="18">
        <v>2</v>
      </c>
      <c r="F398" s="18">
        <v>0</v>
      </c>
      <c r="G398" s="18">
        <v>0</v>
      </c>
      <c r="H398" s="18">
        <v>0</v>
      </c>
      <c r="I398" s="18">
        <v>2</v>
      </c>
      <c r="J398" s="18">
        <v>0</v>
      </c>
      <c r="K398" s="18">
        <v>0</v>
      </c>
      <c r="T398" s="3">
        <v>4</v>
      </c>
      <c r="U398" s="3">
        <v>4</v>
      </c>
      <c r="V398" s="3">
        <v>1</v>
      </c>
      <c r="X398" s="2" t="s">
        <v>949</v>
      </c>
      <c r="Y398" s="18">
        <v>0</v>
      </c>
      <c r="Z398" s="18">
        <v>0</v>
      </c>
      <c r="AA398" s="18">
        <v>2</v>
      </c>
      <c r="AB398" s="18">
        <v>0</v>
      </c>
      <c r="AC398" s="18">
        <v>1</v>
      </c>
      <c r="AD398" s="18">
        <v>0</v>
      </c>
      <c r="AE398" s="18">
        <v>0</v>
      </c>
      <c r="AN398" s="3">
        <v>3</v>
      </c>
      <c r="AO398" s="3">
        <v>3</v>
      </c>
      <c r="AP398" s="3">
        <v>5</v>
      </c>
      <c r="AR398" s="2" t="s">
        <v>953</v>
      </c>
    </row>
    <row r="399" spans="1:44" ht="12.75" customHeight="1">
      <c r="A399" s="4">
        <f>DATE(71,5,4)</f>
        <v>26057</v>
      </c>
      <c r="B399" s="2" t="s">
        <v>152</v>
      </c>
      <c r="C399" s="2" t="s">
        <v>249</v>
      </c>
      <c r="E399" s="18">
        <v>5</v>
      </c>
      <c r="F399" s="18">
        <v>0</v>
      </c>
      <c r="G399" s="18">
        <v>4</v>
      </c>
      <c r="H399" s="18">
        <v>0</v>
      </c>
      <c r="I399" s="18">
        <v>0</v>
      </c>
      <c r="J399" s="18">
        <v>0</v>
      </c>
      <c r="K399" s="18">
        <v>0</v>
      </c>
      <c r="T399" s="3">
        <v>9</v>
      </c>
      <c r="U399" s="3">
        <v>9</v>
      </c>
      <c r="V399" s="3">
        <v>2</v>
      </c>
      <c r="X399" s="2" t="s">
        <v>954</v>
      </c>
      <c r="Y399" s="18">
        <v>0</v>
      </c>
      <c r="Z399" s="18">
        <v>0</v>
      </c>
      <c r="AA399" s="18">
        <v>0</v>
      </c>
      <c r="AB399" s="18">
        <v>0</v>
      </c>
      <c r="AC399" s="18">
        <v>1</v>
      </c>
      <c r="AD399" s="18">
        <v>2</v>
      </c>
      <c r="AE399" s="18">
        <v>0</v>
      </c>
      <c r="AN399" s="3">
        <v>3</v>
      </c>
      <c r="AO399" s="3">
        <v>2</v>
      </c>
      <c r="AP399" s="3">
        <v>3</v>
      </c>
      <c r="AR399" s="2" t="s">
        <v>955</v>
      </c>
    </row>
    <row r="400" spans="1:44" ht="12.75" customHeight="1">
      <c r="A400" s="4">
        <f>DATE(71,5,11)</f>
        <v>26064</v>
      </c>
      <c r="B400" s="2" t="s">
        <v>152</v>
      </c>
      <c r="C400" s="2" t="s">
        <v>371</v>
      </c>
      <c r="E400" s="18">
        <v>5</v>
      </c>
      <c r="F400" s="18">
        <v>0</v>
      </c>
      <c r="G400" s="18">
        <v>1</v>
      </c>
      <c r="H400" s="18">
        <v>3</v>
      </c>
      <c r="I400" s="18">
        <v>1</v>
      </c>
      <c r="J400" s="18">
        <v>0</v>
      </c>
      <c r="K400" s="18">
        <v>0</v>
      </c>
      <c r="T400" s="3">
        <v>10</v>
      </c>
      <c r="U400" s="3">
        <v>11</v>
      </c>
      <c r="V400" s="3">
        <v>1</v>
      </c>
      <c r="X400" s="2" t="s">
        <v>949</v>
      </c>
      <c r="Y400" s="18"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2</v>
      </c>
      <c r="AE400" s="18">
        <v>0</v>
      </c>
      <c r="AN400" s="3">
        <v>2</v>
      </c>
      <c r="AO400" s="3">
        <v>7</v>
      </c>
      <c r="AP400" s="3">
        <v>7</v>
      </c>
      <c r="AR400" s="2" t="s">
        <v>956</v>
      </c>
    </row>
    <row r="401" spans="1:44" ht="12.75" customHeight="1">
      <c r="A401" s="4">
        <f>DATE(71,5,17)</f>
        <v>26070</v>
      </c>
      <c r="B401" s="2" t="s">
        <v>152</v>
      </c>
      <c r="C401" s="2" t="s">
        <v>236</v>
      </c>
      <c r="E401" s="18">
        <v>0</v>
      </c>
      <c r="F401" s="18">
        <v>0</v>
      </c>
      <c r="G401" s="18">
        <v>0</v>
      </c>
      <c r="H401" s="18">
        <v>1</v>
      </c>
      <c r="I401" s="18">
        <v>1</v>
      </c>
      <c r="J401" s="18">
        <v>0</v>
      </c>
      <c r="K401" s="18">
        <v>4</v>
      </c>
      <c r="L401" s="18">
        <v>4</v>
      </c>
      <c r="T401" s="3">
        <v>10</v>
      </c>
      <c r="U401" s="3">
        <v>14</v>
      </c>
      <c r="V401" s="3">
        <v>0</v>
      </c>
      <c r="X401" s="2" t="s">
        <v>957</v>
      </c>
      <c r="Y401" s="18">
        <v>0</v>
      </c>
      <c r="Z401" s="18">
        <v>1</v>
      </c>
      <c r="AA401" s="18">
        <v>2</v>
      </c>
      <c r="AB401" s="18">
        <v>1</v>
      </c>
      <c r="AC401" s="18">
        <v>2</v>
      </c>
      <c r="AD401" s="18">
        <v>0</v>
      </c>
      <c r="AE401" s="18">
        <v>0</v>
      </c>
      <c r="AF401" s="18">
        <v>0</v>
      </c>
      <c r="AN401" s="3">
        <v>6</v>
      </c>
      <c r="AO401" s="3">
        <v>11</v>
      </c>
      <c r="AP401" s="3">
        <v>3</v>
      </c>
      <c r="AR401" s="2" t="s">
        <v>958</v>
      </c>
    </row>
    <row r="402" spans="1:44" ht="12.75" customHeight="1">
      <c r="A402" s="4">
        <f>DATE(71,5,20)</f>
        <v>26073</v>
      </c>
      <c r="C402" s="2" t="s">
        <v>331</v>
      </c>
      <c r="E402" s="18">
        <v>2</v>
      </c>
      <c r="F402" s="18">
        <v>0</v>
      </c>
      <c r="G402" s="18">
        <v>0</v>
      </c>
      <c r="H402" s="18">
        <v>0</v>
      </c>
      <c r="I402" s="18">
        <v>0</v>
      </c>
      <c r="J402" s="18">
        <v>1</v>
      </c>
      <c r="K402" s="18" t="s">
        <v>162</v>
      </c>
      <c r="T402" s="3">
        <v>3</v>
      </c>
      <c r="U402" s="3">
        <v>5</v>
      </c>
      <c r="V402" s="3">
        <v>3</v>
      </c>
      <c r="X402" s="2" t="s">
        <v>949</v>
      </c>
      <c r="Y402" s="18"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  <c r="AE402" s="18">
        <v>0</v>
      </c>
      <c r="AN402" s="3">
        <v>0</v>
      </c>
      <c r="AO402" s="3">
        <v>1</v>
      </c>
      <c r="AP402" s="3">
        <v>1</v>
      </c>
      <c r="AR402" s="2" t="s">
        <v>959</v>
      </c>
    </row>
    <row r="403" spans="1:44" ht="12.75" customHeight="1">
      <c r="A403" s="4">
        <f>DATE(71,5,24)</f>
        <v>26077</v>
      </c>
      <c r="B403" s="2" t="s">
        <v>152</v>
      </c>
      <c r="C403" s="2" t="s">
        <v>375</v>
      </c>
      <c r="E403" s="18">
        <v>0</v>
      </c>
      <c r="F403" s="18">
        <v>1</v>
      </c>
      <c r="G403" s="18">
        <v>3</v>
      </c>
      <c r="H403" s="18">
        <v>6</v>
      </c>
      <c r="I403" s="18">
        <v>1</v>
      </c>
      <c r="J403" s="18">
        <v>1</v>
      </c>
      <c r="K403" s="18">
        <v>0</v>
      </c>
      <c r="T403" s="3">
        <v>12</v>
      </c>
      <c r="U403" s="3">
        <v>15</v>
      </c>
      <c r="V403" s="3">
        <v>1</v>
      </c>
      <c r="X403" s="2" t="s">
        <v>960</v>
      </c>
      <c r="Y403" s="18">
        <v>0</v>
      </c>
      <c r="Z403" s="18">
        <v>1</v>
      </c>
      <c r="AA403" s="18">
        <v>0</v>
      </c>
      <c r="AB403" s="18">
        <v>0</v>
      </c>
      <c r="AC403" s="18">
        <v>0</v>
      </c>
      <c r="AD403" s="18">
        <v>0</v>
      </c>
      <c r="AE403" s="18">
        <v>0</v>
      </c>
      <c r="AN403" s="3">
        <v>1</v>
      </c>
      <c r="AO403" s="3">
        <v>3</v>
      </c>
      <c r="AP403" s="3">
        <v>6</v>
      </c>
      <c r="AR403" s="2" t="s">
        <v>961</v>
      </c>
    </row>
    <row r="404" spans="1:44" ht="12.75" customHeight="1">
      <c r="A404" s="4">
        <f>DATE(71,5,25)</f>
        <v>26078</v>
      </c>
      <c r="B404" s="2" t="s">
        <v>152</v>
      </c>
      <c r="C404" s="2" t="s">
        <v>241</v>
      </c>
      <c r="E404" s="18">
        <v>0</v>
      </c>
      <c r="F404" s="18">
        <v>0</v>
      </c>
      <c r="G404" s="18">
        <v>2</v>
      </c>
      <c r="H404" s="18">
        <v>0</v>
      </c>
      <c r="I404" s="18">
        <v>0</v>
      </c>
      <c r="J404" s="18">
        <v>0</v>
      </c>
      <c r="K404" s="18">
        <v>0</v>
      </c>
      <c r="T404" s="3">
        <v>2</v>
      </c>
      <c r="U404" s="3">
        <v>6</v>
      </c>
      <c r="V404" s="3">
        <v>4</v>
      </c>
      <c r="X404" s="2" t="s">
        <v>962</v>
      </c>
      <c r="Y404" s="18">
        <v>1</v>
      </c>
      <c r="Z404" s="18">
        <v>0</v>
      </c>
      <c r="AA404" s="18">
        <v>2</v>
      </c>
      <c r="AB404" s="18">
        <v>0</v>
      </c>
      <c r="AC404" s="18">
        <v>0</v>
      </c>
      <c r="AD404" s="18">
        <v>3</v>
      </c>
      <c r="AE404" s="18" t="s">
        <v>162</v>
      </c>
      <c r="AN404" s="3">
        <v>6</v>
      </c>
      <c r="AO404" s="3">
        <v>8</v>
      </c>
      <c r="AP404" s="3">
        <v>2</v>
      </c>
      <c r="AR404" s="2" t="s">
        <v>963</v>
      </c>
    </row>
    <row r="405" spans="1:44" ht="12.75" customHeight="1">
      <c r="A405" s="4">
        <f>DATE(71,5,26)</f>
        <v>26079</v>
      </c>
      <c r="C405" s="2" t="s">
        <v>169</v>
      </c>
      <c r="E405" s="18">
        <v>1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T405" s="3">
        <v>1</v>
      </c>
      <c r="U405" s="3">
        <v>6</v>
      </c>
      <c r="V405" s="3">
        <v>1</v>
      </c>
      <c r="X405" s="2" t="s">
        <v>941</v>
      </c>
      <c r="Y405" s="18">
        <v>0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N405" s="3">
        <v>0</v>
      </c>
      <c r="AO405" s="3">
        <v>2</v>
      </c>
      <c r="AP405" s="3">
        <v>1</v>
      </c>
      <c r="AR405" s="2" t="s">
        <v>911</v>
      </c>
    </row>
    <row r="406" spans="1:44" ht="12.75" customHeight="1">
      <c r="A406" s="4">
        <f>DATE(71,6,3)</f>
        <v>26087</v>
      </c>
      <c r="B406" s="2" t="s">
        <v>239</v>
      </c>
      <c r="C406" s="2" t="s">
        <v>251</v>
      </c>
      <c r="D406" s="2" t="s">
        <v>243</v>
      </c>
      <c r="E406" s="18">
        <v>1</v>
      </c>
      <c r="F406" s="18">
        <v>0</v>
      </c>
      <c r="G406" s="18">
        <v>1</v>
      </c>
      <c r="H406" s="18">
        <v>0</v>
      </c>
      <c r="I406" s="18">
        <v>0</v>
      </c>
      <c r="J406" s="18">
        <v>0</v>
      </c>
      <c r="K406" s="18">
        <v>0</v>
      </c>
      <c r="T406" s="3">
        <v>2</v>
      </c>
      <c r="U406" s="3">
        <v>10</v>
      </c>
      <c r="V406" s="3">
        <v>0</v>
      </c>
      <c r="X406" s="2" t="s">
        <v>949</v>
      </c>
      <c r="Y406" s="18">
        <v>0</v>
      </c>
      <c r="Z406" s="18">
        <v>1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N406" s="3">
        <v>1</v>
      </c>
      <c r="AO406" s="3">
        <v>5</v>
      </c>
      <c r="AP406" s="3">
        <v>1</v>
      </c>
      <c r="AR406" s="2" t="s">
        <v>964</v>
      </c>
    </row>
    <row r="407" spans="1:44" ht="12.75" customHeight="1">
      <c r="A407" s="4">
        <f>DATE(71,6,7)</f>
        <v>26091</v>
      </c>
      <c r="B407" s="2" t="s">
        <v>239</v>
      </c>
      <c r="C407" s="2" t="s">
        <v>376</v>
      </c>
      <c r="D407" s="2" t="s">
        <v>243</v>
      </c>
      <c r="E407" s="18">
        <v>0</v>
      </c>
      <c r="F407" s="18">
        <v>0</v>
      </c>
      <c r="G407" s="18">
        <v>0</v>
      </c>
      <c r="H407" s="18">
        <v>2</v>
      </c>
      <c r="I407" s="18">
        <v>0</v>
      </c>
      <c r="J407" s="18">
        <v>2</v>
      </c>
      <c r="K407" s="18" t="s">
        <v>162</v>
      </c>
      <c r="T407" s="3">
        <v>4</v>
      </c>
      <c r="U407" s="3">
        <v>8</v>
      </c>
      <c r="V407" s="3">
        <v>4</v>
      </c>
      <c r="X407" s="2" t="s">
        <v>949</v>
      </c>
      <c r="Y407" s="18">
        <v>2</v>
      </c>
      <c r="Z407" s="18">
        <v>0</v>
      </c>
      <c r="AA407" s="18">
        <v>1</v>
      </c>
      <c r="AB407" s="18">
        <v>0</v>
      </c>
      <c r="AC407" s="18">
        <v>0</v>
      </c>
      <c r="AD407" s="18">
        <v>0</v>
      </c>
      <c r="AE407" s="18">
        <v>0</v>
      </c>
      <c r="AN407" s="3">
        <v>3</v>
      </c>
      <c r="AO407" s="3">
        <v>5</v>
      </c>
      <c r="AP407" s="3">
        <v>3</v>
      </c>
      <c r="AR407" s="2" t="s">
        <v>965</v>
      </c>
    </row>
    <row r="408" spans="1:44" ht="12.75" customHeight="1">
      <c r="A408" s="4">
        <f>DATE(71,6,9)</f>
        <v>26093</v>
      </c>
      <c r="B408" s="2" t="s">
        <v>239</v>
      </c>
      <c r="C408" s="2" t="s">
        <v>247</v>
      </c>
      <c r="D408" s="2" t="s">
        <v>243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2</v>
      </c>
      <c r="K408" s="18">
        <v>0</v>
      </c>
      <c r="T408" s="3">
        <v>2</v>
      </c>
      <c r="U408" s="3">
        <v>4</v>
      </c>
      <c r="V408" s="3">
        <v>1</v>
      </c>
      <c r="X408" s="2" t="s">
        <v>966</v>
      </c>
      <c r="Y408" s="18">
        <v>0</v>
      </c>
      <c r="Z408" s="18">
        <v>0</v>
      </c>
      <c r="AA408" s="18">
        <v>0</v>
      </c>
      <c r="AB408" s="18">
        <v>2</v>
      </c>
      <c r="AC408" s="18">
        <v>0</v>
      </c>
      <c r="AD408" s="18">
        <v>0</v>
      </c>
      <c r="AE408" s="18">
        <v>1</v>
      </c>
      <c r="AN408" s="3">
        <v>3</v>
      </c>
      <c r="AO408" s="3">
        <v>6</v>
      </c>
      <c r="AP408" s="3">
        <v>5</v>
      </c>
      <c r="AR408" s="2" t="s">
        <v>967</v>
      </c>
    </row>
    <row r="409" ht="12.75" customHeight="1">
      <c r="A409" s="4"/>
    </row>
    <row r="410" spans="1:45" ht="12.75" customHeight="1">
      <c r="A410" s="4">
        <f>DATE(72,4,10)</f>
        <v>26399</v>
      </c>
      <c r="C410" s="2" t="s">
        <v>367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1</v>
      </c>
      <c r="K410" s="18">
        <v>1</v>
      </c>
      <c r="T410" s="3">
        <v>2</v>
      </c>
      <c r="U410" s="3">
        <v>5</v>
      </c>
      <c r="V410" s="3">
        <v>0</v>
      </c>
      <c r="X410" s="2" t="s">
        <v>968</v>
      </c>
      <c r="Y410" s="18"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1</v>
      </c>
      <c r="AE410" s="18">
        <v>0</v>
      </c>
      <c r="AN410" s="3">
        <v>1</v>
      </c>
      <c r="AO410" s="3">
        <v>4</v>
      </c>
      <c r="AP410" s="3">
        <v>1</v>
      </c>
      <c r="AR410" s="2" t="s">
        <v>969</v>
      </c>
      <c r="AS410" s="2" t="s">
        <v>1040</v>
      </c>
    </row>
    <row r="411" spans="1:46" ht="12.75" customHeight="1">
      <c r="A411" s="4">
        <f>DATE(72,4,14)</f>
        <v>26403</v>
      </c>
      <c r="C411" s="2" t="s">
        <v>174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T411" s="3">
        <v>0</v>
      </c>
      <c r="U411" s="3">
        <v>6</v>
      </c>
      <c r="V411" s="3">
        <v>7</v>
      </c>
      <c r="X411" s="2" t="s">
        <v>941</v>
      </c>
      <c r="Y411" s="18">
        <v>0</v>
      </c>
      <c r="Z411" s="18">
        <v>0</v>
      </c>
      <c r="AA411" s="18">
        <v>0</v>
      </c>
      <c r="AB411" s="18">
        <v>5</v>
      </c>
      <c r="AC411" s="18">
        <v>0</v>
      </c>
      <c r="AD411" s="18">
        <v>2</v>
      </c>
      <c r="AE411" s="18">
        <v>0</v>
      </c>
      <c r="AN411" s="3">
        <v>7</v>
      </c>
      <c r="AO411" s="3">
        <v>4</v>
      </c>
      <c r="AP411" s="3">
        <v>0</v>
      </c>
      <c r="AR411" s="2" t="s">
        <v>970</v>
      </c>
      <c r="AS411" s="2" t="s">
        <v>252</v>
      </c>
      <c r="AT411" s="2" t="s">
        <v>156</v>
      </c>
    </row>
    <row r="412" spans="1:44" ht="12.75" customHeight="1">
      <c r="A412" s="4">
        <f>DATE(72,4,18)</f>
        <v>26407</v>
      </c>
      <c r="B412" s="2" t="s">
        <v>152</v>
      </c>
      <c r="C412" s="2" t="s">
        <v>374</v>
      </c>
      <c r="E412" s="18">
        <v>0</v>
      </c>
      <c r="F412" s="18">
        <v>1</v>
      </c>
      <c r="G412" s="18">
        <v>8</v>
      </c>
      <c r="H412" s="18">
        <v>0</v>
      </c>
      <c r="I412" s="18">
        <v>0</v>
      </c>
      <c r="J412" s="18">
        <v>0</v>
      </c>
      <c r="K412" s="18">
        <v>0</v>
      </c>
      <c r="T412" s="3">
        <v>9</v>
      </c>
      <c r="U412" s="3">
        <v>6</v>
      </c>
      <c r="V412" s="3">
        <v>3</v>
      </c>
      <c r="X412" s="2" t="s">
        <v>971</v>
      </c>
      <c r="Y412" s="18">
        <v>0</v>
      </c>
      <c r="Z412" s="18">
        <v>1</v>
      </c>
      <c r="AA412" s="18">
        <v>3</v>
      </c>
      <c r="AB412" s="18">
        <v>0</v>
      </c>
      <c r="AC412" s="18">
        <v>1</v>
      </c>
      <c r="AD412" s="18">
        <v>0</v>
      </c>
      <c r="AE412" s="18">
        <v>0</v>
      </c>
      <c r="AN412" s="3">
        <v>5</v>
      </c>
      <c r="AO412" s="3">
        <v>7</v>
      </c>
      <c r="AP412" s="3">
        <v>2</v>
      </c>
      <c r="AR412" s="2" t="s">
        <v>972</v>
      </c>
    </row>
    <row r="413" spans="1:44" ht="12.75" customHeight="1">
      <c r="A413" s="4">
        <f>DATE(72,4,21)</f>
        <v>26410</v>
      </c>
      <c r="B413" s="2" t="s">
        <v>152</v>
      </c>
      <c r="C413" s="2" t="s">
        <v>236</v>
      </c>
      <c r="E413" s="18">
        <v>0</v>
      </c>
      <c r="F413" s="18">
        <v>0</v>
      </c>
      <c r="G413" s="18">
        <v>0</v>
      </c>
      <c r="H413" s="18">
        <v>0</v>
      </c>
      <c r="I413" s="18">
        <v>1</v>
      </c>
      <c r="J413" s="18">
        <v>0</v>
      </c>
      <c r="K413" s="18">
        <v>0</v>
      </c>
      <c r="L413" s="18">
        <v>1</v>
      </c>
      <c r="T413" s="3">
        <v>2</v>
      </c>
      <c r="U413" s="3">
        <v>7</v>
      </c>
      <c r="V413" s="3">
        <v>2</v>
      </c>
      <c r="X413" s="2" t="s">
        <v>973</v>
      </c>
      <c r="Y413" s="18">
        <v>0</v>
      </c>
      <c r="Z413" s="18">
        <v>0</v>
      </c>
      <c r="AA413" s="18">
        <v>0</v>
      </c>
      <c r="AB413" s="18">
        <v>1</v>
      </c>
      <c r="AC413" s="18">
        <v>0</v>
      </c>
      <c r="AD413" s="18">
        <v>0</v>
      </c>
      <c r="AE413" s="18">
        <v>0</v>
      </c>
      <c r="AF413" s="18">
        <v>0</v>
      </c>
      <c r="AN413" s="3">
        <v>1</v>
      </c>
      <c r="AO413" s="3">
        <v>6</v>
      </c>
      <c r="AP413" s="3">
        <v>0</v>
      </c>
      <c r="AR413" s="2" t="s">
        <v>974</v>
      </c>
    </row>
    <row r="414" spans="1:44" ht="12.75" customHeight="1">
      <c r="A414" s="4">
        <f>DATE(72,4,25)</f>
        <v>26414</v>
      </c>
      <c r="C414" s="2" t="s">
        <v>378</v>
      </c>
      <c r="E414" s="18">
        <v>2</v>
      </c>
      <c r="F414" s="18">
        <v>0</v>
      </c>
      <c r="G414" s="18">
        <v>2</v>
      </c>
      <c r="H414" s="18">
        <v>0</v>
      </c>
      <c r="I414" s="18">
        <v>3</v>
      </c>
      <c r="J414" s="18">
        <v>1</v>
      </c>
      <c r="K414" s="18" t="s">
        <v>162</v>
      </c>
      <c r="T414" s="3">
        <v>8</v>
      </c>
      <c r="U414" s="3">
        <v>10</v>
      </c>
      <c r="V414" s="3">
        <v>2</v>
      </c>
      <c r="X414" s="2" t="s">
        <v>971</v>
      </c>
      <c r="Y414" s="18">
        <v>1</v>
      </c>
      <c r="Z414" s="18">
        <v>0</v>
      </c>
      <c r="AA414" s="18">
        <v>0</v>
      </c>
      <c r="AB414" s="18">
        <v>0</v>
      </c>
      <c r="AC414" s="18">
        <v>4</v>
      </c>
      <c r="AD414" s="18">
        <v>0</v>
      </c>
      <c r="AE414" s="18">
        <v>0</v>
      </c>
      <c r="AN414" s="3">
        <v>5</v>
      </c>
      <c r="AO414" s="3">
        <v>5</v>
      </c>
      <c r="AP414" s="3">
        <v>4</v>
      </c>
      <c r="AR414" s="2" t="s">
        <v>975</v>
      </c>
    </row>
    <row r="415" spans="1:44" ht="12.75" customHeight="1">
      <c r="A415" s="4">
        <f>DATE(72,4,28)</f>
        <v>26417</v>
      </c>
      <c r="B415" s="2" t="s">
        <v>152</v>
      </c>
      <c r="C415" s="2" t="s">
        <v>175</v>
      </c>
      <c r="E415" s="18">
        <v>1</v>
      </c>
      <c r="F415" s="18">
        <v>4</v>
      </c>
      <c r="G415" s="18">
        <v>0</v>
      </c>
      <c r="H415" s="18">
        <v>0</v>
      </c>
      <c r="I415" s="18">
        <v>2</v>
      </c>
      <c r="J415" s="18">
        <v>3</v>
      </c>
      <c r="K415" s="18">
        <v>1</v>
      </c>
      <c r="T415" s="3">
        <v>11</v>
      </c>
      <c r="U415" s="3">
        <v>14</v>
      </c>
      <c r="V415" s="3">
        <v>0</v>
      </c>
      <c r="X415" s="2" t="s">
        <v>941</v>
      </c>
      <c r="Y415" s="18">
        <v>0</v>
      </c>
      <c r="Z415" s="18">
        <v>2</v>
      </c>
      <c r="AA415" s="18">
        <v>0</v>
      </c>
      <c r="AB415" s="18">
        <v>0</v>
      </c>
      <c r="AC415" s="18">
        <v>0</v>
      </c>
      <c r="AD415" s="18">
        <v>0</v>
      </c>
      <c r="AE415" s="18">
        <v>0</v>
      </c>
      <c r="AN415" s="3">
        <v>2</v>
      </c>
      <c r="AO415" s="3">
        <v>5</v>
      </c>
      <c r="AP415" s="3">
        <v>3</v>
      </c>
      <c r="AR415" s="2" t="s">
        <v>976</v>
      </c>
    </row>
    <row r="416" spans="1:44" ht="12.75" customHeight="1">
      <c r="A416" s="4">
        <f>DATE(72,5,2)</f>
        <v>26421</v>
      </c>
      <c r="C416" s="2" t="s">
        <v>379</v>
      </c>
      <c r="E416" s="18">
        <v>2</v>
      </c>
      <c r="F416" s="18">
        <v>0</v>
      </c>
      <c r="G416" s="18">
        <v>1</v>
      </c>
      <c r="H416" s="18">
        <v>1</v>
      </c>
      <c r="I416" s="18">
        <v>0</v>
      </c>
      <c r="J416" s="18">
        <v>2</v>
      </c>
      <c r="K416" s="18" t="s">
        <v>162</v>
      </c>
      <c r="T416" s="3">
        <v>6</v>
      </c>
      <c r="U416" s="3">
        <v>7</v>
      </c>
      <c r="V416" s="3">
        <v>1</v>
      </c>
      <c r="X416" s="2" t="s">
        <v>971</v>
      </c>
      <c r="Y416" s="18">
        <v>0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N416" s="3">
        <v>0</v>
      </c>
      <c r="AO416" s="3">
        <v>1</v>
      </c>
      <c r="AP416" s="3">
        <v>1</v>
      </c>
      <c r="AR416" s="2" t="s">
        <v>977</v>
      </c>
    </row>
    <row r="417" spans="1:44" ht="12.75" customHeight="1">
      <c r="A417" s="4">
        <f>DATE(72,5,5)</f>
        <v>26424</v>
      </c>
      <c r="B417" s="2" t="s">
        <v>152</v>
      </c>
      <c r="C417" s="2" t="s">
        <v>367</v>
      </c>
      <c r="E417" s="18">
        <v>0</v>
      </c>
      <c r="F417" s="18">
        <v>2</v>
      </c>
      <c r="G417" s="18">
        <v>0</v>
      </c>
      <c r="H417" s="18">
        <v>0</v>
      </c>
      <c r="I417" s="18">
        <v>0</v>
      </c>
      <c r="J417" s="18">
        <v>1</v>
      </c>
      <c r="K417" s="18">
        <v>0</v>
      </c>
      <c r="T417" s="3">
        <v>3</v>
      </c>
      <c r="U417" s="3">
        <v>5</v>
      </c>
      <c r="V417" s="3">
        <v>4</v>
      </c>
      <c r="X417" s="2" t="s">
        <v>980</v>
      </c>
      <c r="Y417" s="18">
        <v>0</v>
      </c>
      <c r="Z417" s="18">
        <v>0</v>
      </c>
      <c r="AA417" s="18">
        <v>2</v>
      </c>
      <c r="AB417" s="18">
        <v>3</v>
      </c>
      <c r="AC417" s="18">
        <v>0</v>
      </c>
      <c r="AD417" s="18">
        <v>0</v>
      </c>
      <c r="AE417" s="18" t="s">
        <v>162</v>
      </c>
      <c r="AN417" s="3">
        <v>5</v>
      </c>
      <c r="AO417" s="3">
        <v>4</v>
      </c>
      <c r="AP417" s="3">
        <v>2</v>
      </c>
      <c r="AR417" s="2" t="s">
        <v>969</v>
      </c>
    </row>
    <row r="418" spans="1:44" ht="12.75" customHeight="1">
      <c r="A418" s="4">
        <f>DATE(72,5,11)</f>
        <v>26430</v>
      </c>
      <c r="B418" s="2" t="s">
        <v>152</v>
      </c>
      <c r="C418" s="2" t="s">
        <v>174</v>
      </c>
      <c r="E418" s="18">
        <v>1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3</v>
      </c>
      <c r="T418" s="3">
        <v>4</v>
      </c>
      <c r="U418" s="3">
        <v>11</v>
      </c>
      <c r="V418" s="3">
        <v>1</v>
      </c>
      <c r="X418" s="2" t="s">
        <v>981</v>
      </c>
      <c r="Y418" s="18">
        <v>2</v>
      </c>
      <c r="Z418" s="18">
        <v>3</v>
      </c>
      <c r="AA418" s="18">
        <v>4</v>
      </c>
      <c r="AB418" s="18">
        <v>1</v>
      </c>
      <c r="AC418" s="18">
        <v>0</v>
      </c>
      <c r="AD418" s="18">
        <v>2</v>
      </c>
      <c r="AE418" s="18" t="s">
        <v>162</v>
      </c>
      <c r="AN418" s="3">
        <v>12</v>
      </c>
      <c r="AO418" s="3">
        <v>12</v>
      </c>
      <c r="AP418" s="3">
        <v>2</v>
      </c>
      <c r="AR418" s="2" t="s">
        <v>970</v>
      </c>
    </row>
    <row r="419" spans="1:44" ht="12.75" customHeight="1">
      <c r="A419" s="4">
        <f>DATE(72,5,12)</f>
        <v>26431</v>
      </c>
      <c r="C419" s="2" t="s">
        <v>374</v>
      </c>
      <c r="E419" s="18">
        <v>2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 t="s">
        <v>162</v>
      </c>
      <c r="T419" s="3">
        <v>2</v>
      </c>
      <c r="U419" s="3">
        <v>4</v>
      </c>
      <c r="V419" s="3">
        <v>3</v>
      </c>
      <c r="X419" s="2" t="s">
        <v>971</v>
      </c>
      <c r="Y419" s="18">
        <v>0</v>
      </c>
      <c r="Z419" s="18">
        <v>1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N419" s="3">
        <v>1</v>
      </c>
      <c r="AO419" s="3">
        <v>6</v>
      </c>
      <c r="AP419" s="3">
        <v>1</v>
      </c>
      <c r="AR419" s="2" t="s">
        <v>982</v>
      </c>
    </row>
    <row r="420" spans="1:44" ht="12.75" customHeight="1">
      <c r="A420" s="4">
        <f>DATE(72,5,16)</f>
        <v>26435</v>
      </c>
      <c r="C420" s="2" t="s">
        <v>236</v>
      </c>
      <c r="E420" s="18">
        <v>2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 t="s">
        <v>162</v>
      </c>
      <c r="T420" s="3">
        <v>2</v>
      </c>
      <c r="U420" s="3">
        <v>3</v>
      </c>
      <c r="V420" s="3">
        <v>1</v>
      </c>
      <c r="X420" s="2" t="s">
        <v>941</v>
      </c>
      <c r="Y420" s="18">
        <v>0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N420" s="3">
        <v>0</v>
      </c>
      <c r="AO420" s="3">
        <v>3</v>
      </c>
      <c r="AP420" s="3">
        <v>1</v>
      </c>
      <c r="AR420" s="2" t="s">
        <v>983</v>
      </c>
    </row>
    <row r="421" spans="1:44" ht="12.75" customHeight="1">
      <c r="A421" s="4">
        <f>DATE(72,5,18)</f>
        <v>26437</v>
      </c>
      <c r="B421" s="2" t="s">
        <v>152</v>
      </c>
      <c r="C421" s="2" t="s">
        <v>378</v>
      </c>
      <c r="E421" s="18">
        <v>1</v>
      </c>
      <c r="F421" s="18">
        <v>0</v>
      </c>
      <c r="G421" s="18">
        <v>0</v>
      </c>
      <c r="H421" s="18">
        <v>0</v>
      </c>
      <c r="I421" s="18">
        <v>0</v>
      </c>
      <c r="J421" s="18">
        <v>2</v>
      </c>
      <c r="K421" s="18">
        <v>1</v>
      </c>
      <c r="T421" s="3">
        <v>4</v>
      </c>
      <c r="U421" s="3">
        <v>5</v>
      </c>
      <c r="V421" s="3">
        <v>2</v>
      </c>
      <c r="X421" s="2" t="s">
        <v>971</v>
      </c>
      <c r="Y421" s="18">
        <v>0</v>
      </c>
      <c r="Z421" s="18">
        <v>0</v>
      </c>
      <c r="AA421" s="18">
        <v>0</v>
      </c>
      <c r="AB421" s="18">
        <v>1</v>
      </c>
      <c r="AC421" s="18">
        <v>1</v>
      </c>
      <c r="AD421" s="18">
        <v>0</v>
      </c>
      <c r="AE421" s="18">
        <v>0</v>
      </c>
      <c r="AN421" s="3">
        <v>2</v>
      </c>
      <c r="AO421" s="3">
        <v>5</v>
      </c>
      <c r="AP421" s="3">
        <v>4</v>
      </c>
      <c r="AR421" s="2" t="s">
        <v>984</v>
      </c>
    </row>
    <row r="422" spans="1:44" ht="12.75" customHeight="1">
      <c r="A422" s="4">
        <f>DATE(72,5,23)</f>
        <v>26442</v>
      </c>
      <c r="C422" s="2" t="s">
        <v>175</v>
      </c>
      <c r="E422" s="18">
        <v>1</v>
      </c>
      <c r="F422" s="18">
        <v>0</v>
      </c>
      <c r="G422" s="18">
        <v>0</v>
      </c>
      <c r="H422" s="18">
        <v>4</v>
      </c>
      <c r="I422" s="18">
        <v>0</v>
      </c>
      <c r="J422" s="18">
        <v>1</v>
      </c>
      <c r="K422" s="18" t="s">
        <v>162</v>
      </c>
      <c r="T422" s="3">
        <v>6</v>
      </c>
      <c r="U422" s="3">
        <v>9</v>
      </c>
      <c r="V422" s="3">
        <v>3</v>
      </c>
      <c r="X422" s="2" t="s">
        <v>985</v>
      </c>
      <c r="Y422" s="18">
        <v>1</v>
      </c>
      <c r="Z422" s="18">
        <v>0</v>
      </c>
      <c r="AA422" s="18">
        <v>0</v>
      </c>
      <c r="AB422" s="18">
        <v>1</v>
      </c>
      <c r="AC422" s="18">
        <v>0</v>
      </c>
      <c r="AD422" s="18">
        <v>0</v>
      </c>
      <c r="AE422" s="18">
        <v>2</v>
      </c>
      <c r="AN422" s="3">
        <v>4</v>
      </c>
      <c r="AO422" s="3">
        <v>6</v>
      </c>
      <c r="AP422" s="3">
        <v>1</v>
      </c>
      <c r="AR422" s="2" t="s">
        <v>986</v>
      </c>
    </row>
    <row r="423" spans="1:44" ht="12.75" customHeight="1">
      <c r="A423" s="4">
        <f>DATE(72,5,25)</f>
        <v>26444</v>
      </c>
      <c r="B423" s="2" t="s">
        <v>239</v>
      </c>
      <c r="C423" s="2" t="s">
        <v>241</v>
      </c>
      <c r="D423" s="2" t="s">
        <v>243</v>
      </c>
      <c r="E423" s="18">
        <v>4</v>
      </c>
      <c r="F423" s="18">
        <v>1</v>
      </c>
      <c r="G423" s="18">
        <v>0</v>
      </c>
      <c r="H423" s="18">
        <v>0</v>
      </c>
      <c r="I423" s="18">
        <v>0</v>
      </c>
      <c r="J423" s="18">
        <v>2</v>
      </c>
      <c r="K423" s="18" t="s">
        <v>162</v>
      </c>
      <c r="T423" s="3">
        <v>7</v>
      </c>
      <c r="U423" s="3">
        <v>5</v>
      </c>
      <c r="V423" s="3">
        <v>0</v>
      </c>
      <c r="X423" s="2" t="s">
        <v>941</v>
      </c>
      <c r="Y423" s="18">
        <v>1</v>
      </c>
      <c r="Z423" s="18">
        <v>0</v>
      </c>
      <c r="AA423" s="18">
        <v>0</v>
      </c>
      <c r="AB423" s="18">
        <v>1</v>
      </c>
      <c r="AC423" s="18">
        <v>0</v>
      </c>
      <c r="AD423" s="18">
        <v>0</v>
      </c>
      <c r="AE423" s="18">
        <v>0</v>
      </c>
      <c r="AN423" s="3">
        <v>2</v>
      </c>
      <c r="AO423" s="3">
        <v>2</v>
      </c>
      <c r="AP423" s="3">
        <v>8</v>
      </c>
      <c r="AR423" s="2" t="s">
        <v>987</v>
      </c>
    </row>
    <row r="424" spans="1:44" ht="12.75" customHeight="1">
      <c r="A424" s="4">
        <f>DATE(72,5,26)</f>
        <v>26445</v>
      </c>
      <c r="B424" s="2" t="s">
        <v>152</v>
      </c>
      <c r="C424" s="2" t="s">
        <v>379</v>
      </c>
      <c r="E424" s="18">
        <v>1</v>
      </c>
      <c r="F424" s="18">
        <v>0</v>
      </c>
      <c r="G424" s="18">
        <v>1</v>
      </c>
      <c r="H424" s="18">
        <v>0</v>
      </c>
      <c r="I424" s="18">
        <v>2</v>
      </c>
      <c r="J424" s="18">
        <v>3</v>
      </c>
      <c r="K424" s="18">
        <v>0</v>
      </c>
      <c r="T424" s="3">
        <v>7</v>
      </c>
      <c r="U424" s="3">
        <v>7</v>
      </c>
      <c r="V424" s="3">
        <v>2</v>
      </c>
      <c r="X424" s="2" t="s">
        <v>988</v>
      </c>
      <c r="Y424" s="18">
        <v>0</v>
      </c>
      <c r="Z424" s="18">
        <v>0</v>
      </c>
      <c r="AA424" s="18">
        <v>0</v>
      </c>
      <c r="AB424" s="18">
        <v>4</v>
      </c>
      <c r="AC424" s="18">
        <v>0</v>
      </c>
      <c r="AD424" s="18">
        <v>0</v>
      </c>
      <c r="AE424" s="18">
        <v>0</v>
      </c>
      <c r="AN424" s="3">
        <v>4</v>
      </c>
      <c r="AO424" s="3">
        <v>6</v>
      </c>
      <c r="AP424" s="3">
        <v>7</v>
      </c>
      <c r="AR424" s="2" t="s">
        <v>989</v>
      </c>
    </row>
    <row r="425" spans="1:44" ht="12.75" customHeight="1">
      <c r="A425" s="4">
        <f>DATE(72,5,29)</f>
        <v>26448</v>
      </c>
      <c r="B425" s="2" t="s">
        <v>239</v>
      </c>
      <c r="C425" s="2" t="s">
        <v>377</v>
      </c>
      <c r="D425" s="2" t="s">
        <v>243</v>
      </c>
      <c r="E425" s="18">
        <v>1</v>
      </c>
      <c r="F425" s="18">
        <v>0</v>
      </c>
      <c r="G425" s="18">
        <v>2</v>
      </c>
      <c r="H425" s="18">
        <v>0</v>
      </c>
      <c r="I425" s="18">
        <v>0</v>
      </c>
      <c r="J425" s="18">
        <v>0</v>
      </c>
      <c r="K425" s="18">
        <v>0</v>
      </c>
      <c r="T425" s="3">
        <v>3</v>
      </c>
      <c r="U425" s="3">
        <v>9</v>
      </c>
      <c r="V425" s="3">
        <v>4</v>
      </c>
      <c r="X425" s="2" t="s">
        <v>990</v>
      </c>
      <c r="Y425" s="18">
        <v>0</v>
      </c>
      <c r="Z425" s="18">
        <v>0</v>
      </c>
      <c r="AA425" s="18">
        <v>0</v>
      </c>
      <c r="AB425" s="18">
        <v>2</v>
      </c>
      <c r="AC425" s="18">
        <v>0</v>
      </c>
      <c r="AD425" s="18">
        <v>3</v>
      </c>
      <c r="AE425" s="18" t="s">
        <v>162</v>
      </c>
      <c r="AN425" s="3">
        <v>5</v>
      </c>
      <c r="AO425" s="3">
        <v>9</v>
      </c>
      <c r="AP425" s="3">
        <v>2</v>
      </c>
      <c r="AR425" s="2" t="s">
        <v>991</v>
      </c>
    </row>
    <row r="426" ht="12.75" customHeight="1">
      <c r="A426" s="4"/>
    </row>
    <row r="427" spans="1:45" ht="12.75" customHeight="1">
      <c r="A427" s="4">
        <f>DATE(73,4,3)</f>
        <v>26757</v>
      </c>
      <c r="C427" s="2" t="s">
        <v>367</v>
      </c>
      <c r="E427" s="18">
        <v>0</v>
      </c>
      <c r="F427" s="18">
        <v>1</v>
      </c>
      <c r="G427" s="18">
        <v>0</v>
      </c>
      <c r="H427" s="18">
        <v>0</v>
      </c>
      <c r="I427" s="18">
        <v>0</v>
      </c>
      <c r="J427" s="18">
        <v>1</v>
      </c>
      <c r="K427" s="18">
        <v>0</v>
      </c>
      <c r="T427" s="3">
        <v>2</v>
      </c>
      <c r="U427" s="3">
        <v>1</v>
      </c>
      <c r="V427" s="3">
        <v>3</v>
      </c>
      <c r="X427" s="2" t="s">
        <v>992</v>
      </c>
      <c r="Y427" s="18">
        <v>0</v>
      </c>
      <c r="Z427" s="18">
        <v>0</v>
      </c>
      <c r="AA427" s="18">
        <v>2</v>
      </c>
      <c r="AB427" s="18">
        <v>0</v>
      </c>
      <c r="AC427" s="18">
        <v>0</v>
      </c>
      <c r="AD427" s="18">
        <v>0</v>
      </c>
      <c r="AE427" s="18">
        <v>0</v>
      </c>
      <c r="AN427" s="3">
        <v>2</v>
      </c>
      <c r="AO427" s="3">
        <v>4</v>
      </c>
      <c r="AP427" s="3">
        <v>2</v>
      </c>
      <c r="AR427" s="2" t="s">
        <v>993</v>
      </c>
      <c r="AS427" s="2" t="s">
        <v>1040</v>
      </c>
    </row>
    <row r="428" spans="1:47" ht="12.75" customHeight="1">
      <c r="A428" s="4">
        <f>DATE(73,4,13)</f>
        <v>26767</v>
      </c>
      <c r="B428" s="2" t="s">
        <v>152</v>
      </c>
      <c r="C428" s="2" t="s">
        <v>379</v>
      </c>
      <c r="E428" s="18">
        <v>1</v>
      </c>
      <c r="F428" s="18">
        <v>3</v>
      </c>
      <c r="G428" s="18">
        <v>0</v>
      </c>
      <c r="H428" s="18">
        <v>0</v>
      </c>
      <c r="I428" s="18">
        <v>1</v>
      </c>
      <c r="J428" s="18">
        <v>2</v>
      </c>
      <c r="K428" s="18">
        <v>0</v>
      </c>
      <c r="T428" s="3">
        <v>7</v>
      </c>
      <c r="U428" s="3">
        <v>11</v>
      </c>
      <c r="V428" s="3">
        <v>2</v>
      </c>
      <c r="X428" s="2" t="s">
        <v>994</v>
      </c>
      <c r="Y428" s="18">
        <v>0</v>
      </c>
      <c r="Z428" s="18">
        <v>0</v>
      </c>
      <c r="AA428" s="18">
        <v>2</v>
      </c>
      <c r="AB428" s="18">
        <v>0</v>
      </c>
      <c r="AC428" s="18">
        <v>0</v>
      </c>
      <c r="AD428" s="18">
        <v>1</v>
      </c>
      <c r="AE428" s="18">
        <v>0</v>
      </c>
      <c r="AN428" s="3">
        <v>3</v>
      </c>
      <c r="AO428" s="3">
        <v>5</v>
      </c>
      <c r="AP428" s="3">
        <v>1</v>
      </c>
      <c r="AR428" s="2" t="s">
        <v>995</v>
      </c>
      <c r="AS428" s="2" t="s">
        <v>180</v>
      </c>
      <c r="AT428" s="2" t="s">
        <v>206</v>
      </c>
      <c r="AU428" s="2" t="s">
        <v>167</v>
      </c>
    </row>
    <row r="429" spans="1:44" ht="12.75" customHeight="1">
      <c r="A429" s="4">
        <f>DATE(73,4,17)</f>
        <v>26771</v>
      </c>
      <c r="C429" s="2" t="s">
        <v>174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T429" s="3">
        <v>0</v>
      </c>
      <c r="U429" s="3">
        <v>2</v>
      </c>
      <c r="V429" s="3">
        <v>1</v>
      </c>
      <c r="X429" s="2" t="s">
        <v>996</v>
      </c>
      <c r="Y429" s="18">
        <v>0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N429" s="3">
        <v>0</v>
      </c>
      <c r="AO429" s="3">
        <v>2</v>
      </c>
      <c r="AP429" s="3">
        <v>1</v>
      </c>
      <c r="AR429" s="2" t="s">
        <v>970</v>
      </c>
    </row>
    <row r="430" spans="1:44" ht="12.75" customHeight="1">
      <c r="A430" s="4">
        <f>DATE(73,4,18)</f>
        <v>26772</v>
      </c>
      <c r="C430" s="2" t="s">
        <v>174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T430" s="3">
        <v>0</v>
      </c>
      <c r="U430" s="3">
        <v>1</v>
      </c>
      <c r="V430" s="3">
        <v>2</v>
      </c>
      <c r="X430" s="2" t="s">
        <v>997</v>
      </c>
      <c r="Y430" s="18">
        <v>0</v>
      </c>
      <c r="Z430" s="18">
        <v>0</v>
      </c>
      <c r="AA430" s="18">
        <v>0</v>
      </c>
      <c r="AB430" s="18">
        <v>0</v>
      </c>
      <c r="AC430" s="18">
        <v>0</v>
      </c>
      <c r="AD430" s="18">
        <v>1</v>
      </c>
      <c r="AE430" s="18">
        <v>0</v>
      </c>
      <c r="AN430" s="3">
        <v>1</v>
      </c>
      <c r="AO430" s="3">
        <v>6</v>
      </c>
      <c r="AP430" s="3">
        <v>1</v>
      </c>
      <c r="AR430" s="2" t="s">
        <v>998</v>
      </c>
    </row>
    <row r="431" spans="1:44" ht="12.75" customHeight="1">
      <c r="A431" s="4">
        <f>DATE(73,4,19)</f>
        <v>26773</v>
      </c>
      <c r="B431" s="2" t="s">
        <v>152</v>
      </c>
      <c r="C431" s="2" t="s">
        <v>374</v>
      </c>
      <c r="E431" s="18">
        <v>1</v>
      </c>
      <c r="F431" s="18">
        <v>0</v>
      </c>
      <c r="G431" s="18">
        <v>2</v>
      </c>
      <c r="H431" s="18">
        <v>0</v>
      </c>
      <c r="I431" s="18">
        <v>0</v>
      </c>
      <c r="J431" s="18">
        <v>0</v>
      </c>
      <c r="K431" s="18">
        <v>0</v>
      </c>
      <c r="T431" s="3">
        <v>3</v>
      </c>
      <c r="U431" s="3">
        <v>4</v>
      </c>
      <c r="V431" s="3">
        <v>8</v>
      </c>
      <c r="X431" s="2" t="s">
        <v>999</v>
      </c>
      <c r="Y431" s="18">
        <v>2</v>
      </c>
      <c r="Z431" s="18">
        <v>0</v>
      </c>
      <c r="AA431" s="18">
        <v>0</v>
      </c>
      <c r="AB431" s="18">
        <v>3</v>
      </c>
      <c r="AC431" s="18">
        <v>0</v>
      </c>
      <c r="AD431" s="18">
        <v>2</v>
      </c>
      <c r="AE431" s="18" t="s">
        <v>162</v>
      </c>
      <c r="AN431" s="3">
        <v>7</v>
      </c>
      <c r="AO431" s="3">
        <v>6</v>
      </c>
      <c r="AP431" s="3">
        <v>3</v>
      </c>
      <c r="AR431" s="2" t="s">
        <v>1000</v>
      </c>
    </row>
    <row r="432" spans="1:44" ht="12.75" customHeight="1">
      <c r="A432" s="4">
        <f>DATE(73,4,24)</f>
        <v>26778</v>
      </c>
      <c r="B432" s="2" t="s">
        <v>152</v>
      </c>
      <c r="C432" s="2" t="s">
        <v>236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T432" s="3">
        <v>0</v>
      </c>
      <c r="U432" s="3">
        <v>0</v>
      </c>
      <c r="V432" s="3">
        <v>1</v>
      </c>
      <c r="X432" s="2" t="s">
        <v>1001</v>
      </c>
      <c r="Y432" s="18">
        <v>0</v>
      </c>
      <c r="Z432" s="18">
        <v>0</v>
      </c>
      <c r="AA432" s="18">
        <v>0</v>
      </c>
      <c r="AB432" s="18">
        <v>1</v>
      </c>
      <c r="AC432" s="18">
        <v>0</v>
      </c>
      <c r="AD432" s="18">
        <v>1</v>
      </c>
      <c r="AE432" s="18" t="s">
        <v>162</v>
      </c>
      <c r="AN432" s="3">
        <v>2</v>
      </c>
      <c r="AO432" s="3">
        <v>5</v>
      </c>
      <c r="AP432" s="3">
        <v>0</v>
      </c>
      <c r="AR432" s="2" t="s">
        <v>1002</v>
      </c>
    </row>
    <row r="433" spans="1:44" ht="12.75" customHeight="1">
      <c r="A433" s="4">
        <f>DATE(73,4,30)</f>
        <v>26784</v>
      </c>
      <c r="C433" s="2" t="s">
        <v>378</v>
      </c>
      <c r="E433" s="18">
        <v>1</v>
      </c>
      <c r="F433" s="18">
        <v>1</v>
      </c>
      <c r="G433" s="18">
        <v>0</v>
      </c>
      <c r="H433" s="18">
        <v>1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T433" s="3">
        <v>3</v>
      </c>
      <c r="U433" s="3">
        <v>7</v>
      </c>
      <c r="V433" s="3">
        <v>4</v>
      </c>
      <c r="X433" s="2" t="s">
        <v>1003</v>
      </c>
      <c r="Y433" s="18">
        <v>1</v>
      </c>
      <c r="Z433" s="18">
        <v>0</v>
      </c>
      <c r="AA433" s="18">
        <v>2</v>
      </c>
      <c r="AB433" s="18">
        <v>0</v>
      </c>
      <c r="AC433" s="18">
        <v>0</v>
      </c>
      <c r="AD433" s="18">
        <v>0</v>
      </c>
      <c r="AE433" s="18">
        <v>0</v>
      </c>
      <c r="AF433" s="18">
        <v>0</v>
      </c>
      <c r="AG433" s="18">
        <v>1</v>
      </c>
      <c r="AN433" s="3">
        <v>4</v>
      </c>
      <c r="AO433" s="3">
        <v>6</v>
      </c>
      <c r="AP433" s="3">
        <v>2</v>
      </c>
      <c r="AR433" s="2" t="s">
        <v>1004</v>
      </c>
    </row>
    <row r="434" spans="1:44" ht="12.75" customHeight="1">
      <c r="A434" s="4">
        <f>DATE(73,5,1)</f>
        <v>26785</v>
      </c>
      <c r="B434" s="2" t="s">
        <v>152</v>
      </c>
      <c r="C434" s="2" t="s">
        <v>175</v>
      </c>
      <c r="E434" s="18">
        <v>0</v>
      </c>
      <c r="F434" s="18">
        <v>0</v>
      </c>
      <c r="G434" s="18">
        <v>1</v>
      </c>
      <c r="H434" s="18">
        <v>0</v>
      </c>
      <c r="I434" s="18">
        <v>0</v>
      </c>
      <c r="J434" s="18">
        <v>0</v>
      </c>
      <c r="K434" s="18">
        <v>2</v>
      </c>
      <c r="L434" s="18">
        <v>0</v>
      </c>
      <c r="M434" s="18">
        <v>0</v>
      </c>
      <c r="N434" s="18">
        <v>3</v>
      </c>
      <c r="T434" s="3">
        <v>6</v>
      </c>
      <c r="U434" s="3">
        <v>8</v>
      </c>
      <c r="V434" s="3">
        <v>4</v>
      </c>
      <c r="X434" s="2" t="s">
        <v>999</v>
      </c>
      <c r="Y434" s="18">
        <v>0</v>
      </c>
      <c r="Z434" s="18">
        <v>1</v>
      </c>
      <c r="AA434" s="18">
        <v>0</v>
      </c>
      <c r="AB434" s="18">
        <v>0</v>
      </c>
      <c r="AC434" s="18">
        <v>1</v>
      </c>
      <c r="AD434" s="18">
        <v>0</v>
      </c>
      <c r="AE434" s="18">
        <v>1</v>
      </c>
      <c r="AF434" s="18">
        <v>0</v>
      </c>
      <c r="AG434" s="18">
        <v>0</v>
      </c>
      <c r="AH434" s="18">
        <v>0</v>
      </c>
      <c r="AN434" s="3">
        <v>3</v>
      </c>
      <c r="AO434" s="3">
        <v>7</v>
      </c>
      <c r="AP434" s="3">
        <v>4</v>
      </c>
      <c r="AR434" s="2" t="s">
        <v>253</v>
      </c>
    </row>
    <row r="435" spans="1:44" ht="12.75" customHeight="1">
      <c r="A435" s="4">
        <f>DATE(73,5,7)</f>
        <v>26791</v>
      </c>
      <c r="C435" s="2" t="s">
        <v>379</v>
      </c>
      <c r="E435" s="18">
        <v>0</v>
      </c>
      <c r="F435" s="18">
        <v>0</v>
      </c>
      <c r="G435" s="18">
        <v>0</v>
      </c>
      <c r="H435" s="18">
        <v>1</v>
      </c>
      <c r="I435" s="18">
        <v>0</v>
      </c>
      <c r="J435" s="18">
        <v>0</v>
      </c>
      <c r="K435" s="18" t="s">
        <v>162</v>
      </c>
      <c r="T435" s="3">
        <v>1</v>
      </c>
      <c r="U435" s="3">
        <v>2</v>
      </c>
      <c r="V435" s="3">
        <v>1</v>
      </c>
      <c r="X435" s="2" t="s">
        <v>1005</v>
      </c>
      <c r="Y435" s="18">
        <v>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  <c r="AE435" s="18">
        <v>0</v>
      </c>
      <c r="AN435" s="3">
        <v>0</v>
      </c>
      <c r="AO435" s="3">
        <v>4</v>
      </c>
      <c r="AP435" s="3">
        <v>2</v>
      </c>
      <c r="AR435" s="2" t="s">
        <v>1006</v>
      </c>
    </row>
    <row r="436" spans="1:44" ht="12.75" customHeight="1">
      <c r="A436" s="4">
        <f>DATE(73,5,15)</f>
        <v>26799</v>
      </c>
      <c r="C436" s="2" t="s">
        <v>374</v>
      </c>
      <c r="E436" s="18">
        <v>2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1</v>
      </c>
      <c r="T436" s="3">
        <v>3</v>
      </c>
      <c r="U436" s="3">
        <v>5</v>
      </c>
      <c r="V436" s="3">
        <v>4</v>
      </c>
      <c r="X436" s="2" t="s">
        <v>1007</v>
      </c>
      <c r="Y436" s="18">
        <v>0</v>
      </c>
      <c r="Z436" s="18">
        <v>0</v>
      </c>
      <c r="AA436" s="18">
        <v>0</v>
      </c>
      <c r="AB436" s="18">
        <v>1</v>
      </c>
      <c r="AC436" s="18">
        <v>0</v>
      </c>
      <c r="AD436" s="18">
        <v>0</v>
      </c>
      <c r="AE436" s="18">
        <v>4</v>
      </c>
      <c r="AN436" s="3">
        <v>5</v>
      </c>
      <c r="AO436" s="3">
        <v>8</v>
      </c>
      <c r="AP436" s="3">
        <v>4</v>
      </c>
      <c r="AR436" s="2" t="s">
        <v>1008</v>
      </c>
    </row>
    <row r="437" spans="1:44" ht="12.75" customHeight="1">
      <c r="A437" s="4">
        <f>DATE(73,5,16)</f>
        <v>26800</v>
      </c>
      <c r="B437" s="2" t="s">
        <v>152</v>
      </c>
      <c r="C437" s="2" t="s">
        <v>174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1</v>
      </c>
      <c r="T437" s="3">
        <v>1</v>
      </c>
      <c r="U437" s="3">
        <v>7</v>
      </c>
      <c r="V437" s="3">
        <v>9</v>
      </c>
      <c r="X437" s="2" t="s">
        <v>1009</v>
      </c>
      <c r="Y437" s="18">
        <v>0</v>
      </c>
      <c r="Z437" s="18">
        <v>3</v>
      </c>
      <c r="AA437" s="18">
        <v>5</v>
      </c>
      <c r="AB437" s="18">
        <v>0</v>
      </c>
      <c r="AC437" s="18">
        <v>4</v>
      </c>
      <c r="AD437" s="18">
        <v>7</v>
      </c>
      <c r="AE437" s="18" t="s">
        <v>162</v>
      </c>
      <c r="AN437" s="3">
        <v>19</v>
      </c>
      <c r="AO437" s="3">
        <v>9</v>
      </c>
      <c r="AP437" s="3">
        <v>0</v>
      </c>
      <c r="AR437" s="2" t="s">
        <v>998</v>
      </c>
    </row>
    <row r="438" spans="1:44" ht="12.75" customHeight="1">
      <c r="A438" s="4">
        <f>DATE(73,5,18)</f>
        <v>26802</v>
      </c>
      <c r="C438" s="2" t="s">
        <v>236</v>
      </c>
      <c r="E438" s="18">
        <v>0</v>
      </c>
      <c r="F438" s="18">
        <v>0</v>
      </c>
      <c r="G438" s="18">
        <v>0</v>
      </c>
      <c r="H438" s="18">
        <v>1</v>
      </c>
      <c r="I438" s="18">
        <v>0</v>
      </c>
      <c r="J438" s="18">
        <v>0</v>
      </c>
      <c r="K438" s="18">
        <v>0</v>
      </c>
      <c r="T438" s="3">
        <v>1</v>
      </c>
      <c r="U438" s="3">
        <v>0</v>
      </c>
      <c r="V438" s="3">
        <v>7</v>
      </c>
      <c r="X438" s="2" t="s">
        <v>1010</v>
      </c>
      <c r="Y438" s="18">
        <v>2</v>
      </c>
      <c r="Z438" s="18">
        <v>2</v>
      </c>
      <c r="AA438" s="18">
        <v>2</v>
      </c>
      <c r="AB438" s="18">
        <v>1</v>
      </c>
      <c r="AC438" s="18">
        <v>2</v>
      </c>
      <c r="AD438" s="18">
        <v>0</v>
      </c>
      <c r="AE438" s="18">
        <v>0</v>
      </c>
      <c r="AN438" s="3">
        <v>9</v>
      </c>
      <c r="AO438" s="3">
        <v>11</v>
      </c>
      <c r="AP438" s="3">
        <v>3</v>
      </c>
      <c r="AR438" s="2" t="s">
        <v>1011</v>
      </c>
    </row>
    <row r="439" spans="1:44" ht="12.75" customHeight="1">
      <c r="A439" s="4">
        <f>DATE(73,5,19)</f>
        <v>26803</v>
      </c>
      <c r="B439" s="2" t="s">
        <v>152</v>
      </c>
      <c r="C439" s="2" t="s">
        <v>367</v>
      </c>
      <c r="E439" s="18">
        <v>1</v>
      </c>
      <c r="F439" s="18">
        <v>0</v>
      </c>
      <c r="G439" s="18">
        <v>0</v>
      </c>
      <c r="H439" s="18">
        <v>0</v>
      </c>
      <c r="I439" s="18">
        <v>0</v>
      </c>
      <c r="J439" s="18">
        <v>2</v>
      </c>
      <c r="K439" s="18">
        <v>0</v>
      </c>
      <c r="T439" s="3">
        <v>3</v>
      </c>
      <c r="U439" s="3">
        <v>7</v>
      </c>
      <c r="V439" s="3">
        <v>10</v>
      </c>
      <c r="X439" s="2" t="s">
        <v>1012</v>
      </c>
      <c r="Y439" s="18">
        <v>5</v>
      </c>
      <c r="Z439" s="18">
        <v>3</v>
      </c>
      <c r="AA439" s="18">
        <v>2</v>
      </c>
      <c r="AB439" s="18">
        <v>0</v>
      </c>
      <c r="AC439" s="18">
        <v>11</v>
      </c>
      <c r="AD439" s="18">
        <v>0</v>
      </c>
      <c r="AE439" s="18" t="s">
        <v>162</v>
      </c>
      <c r="AN439" s="3">
        <v>21</v>
      </c>
      <c r="AO439" s="3">
        <v>17</v>
      </c>
      <c r="AP439" s="3">
        <v>4</v>
      </c>
      <c r="AR439" s="2" t="s">
        <v>1013</v>
      </c>
    </row>
    <row r="440" spans="1:44" ht="12.75" customHeight="1">
      <c r="A440" s="4">
        <f>DATE(73,5,19)</f>
        <v>26803</v>
      </c>
      <c r="B440" s="2" t="s">
        <v>152</v>
      </c>
      <c r="C440" s="2" t="s">
        <v>367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T440" s="3">
        <v>0</v>
      </c>
      <c r="U440" s="3">
        <v>5</v>
      </c>
      <c r="V440" s="3">
        <v>1</v>
      </c>
      <c r="X440" s="2" t="s">
        <v>1014</v>
      </c>
      <c r="Y440" s="18">
        <v>2</v>
      </c>
      <c r="Z440" s="18">
        <v>0</v>
      </c>
      <c r="AA440" s="18">
        <v>0</v>
      </c>
      <c r="AB440" s="18">
        <v>1</v>
      </c>
      <c r="AC440" s="18">
        <v>0</v>
      </c>
      <c r="AD440" s="18">
        <v>0</v>
      </c>
      <c r="AE440" s="18" t="s">
        <v>162</v>
      </c>
      <c r="AN440" s="3">
        <v>3</v>
      </c>
      <c r="AO440" s="3">
        <v>3</v>
      </c>
      <c r="AP440" s="3">
        <v>2</v>
      </c>
      <c r="AR440" s="2" t="s">
        <v>1015</v>
      </c>
    </row>
    <row r="441" spans="1:44" ht="12.75" customHeight="1">
      <c r="A441" s="4">
        <f>DATE(73,5,22)</f>
        <v>26806</v>
      </c>
      <c r="B441" s="2" t="s">
        <v>152</v>
      </c>
      <c r="C441" s="2" t="s">
        <v>378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4</v>
      </c>
      <c r="K441" s="18">
        <v>0</v>
      </c>
      <c r="T441" s="3">
        <v>4</v>
      </c>
      <c r="U441" s="3">
        <v>10</v>
      </c>
      <c r="V441" s="3">
        <v>2</v>
      </c>
      <c r="X441" s="2" t="s">
        <v>996</v>
      </c>
      <c r="Y441" s="18">
        <v>0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  <c r="AE441" s="18">
        <v>0</v>
      </c>
      <c r="AN441" s="3">
        <v>0</v>
      </c>
      <c r="AO441" s="3">
        <v>3</v>
      </c>
      <c r="AP441" s="3">
        <v>0</v>
      </c>
      <c r="AR441" s="2" t="s">
        <v>1016</v>
      </c>
    </row>
    <row r="442" spans="1:44" ht="12.75" customHeight="1">
      <c r="A442" s="4">
        <f>DATE(73,5,30)</f>
        <v>26814</v>
      </c>
      <c r="C442" s="2" t="s">
        <v>175</v>
      </c>
      <c r="E442" s="18">
        <v>0</v>
      </c>
      <c r="F442" s="18">
        <v>1</v>
      </c>
      <c r="G442" s="18">
        <v>2</v>
      </c>
      <c r="H442" s="18">
        <v>0</v>
      </c>
      <c r="I442" s="18">
        <v>0</v>
      </c>
      <c r="J442" s="18">
        <v>0</v>
      </c>
      <c r="K442" s="18" t="s">
        <v>162</v>
      </c>
      <c r="T442" s="3">
        <v>3</v>
      </c>
      <c r="U442" s="3">
        <v>6</v>
      </c>
      <c r="V442" s="3">
        <v>2</v>
      </c>
      <c r="X442" s="2" t="s">
        <v>1005</v>
      </c>
      <c r="Y442" s="18">
        <v>0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  <c r="AE442" s="18">
        <v>0</v>
      </c>
      <c r="AN442" s="3">
        <v>0</v>
      </c>
      <c r="AO442" s="3">
        <v>4</v>
      </c>
      <c r="AP442" s="3">
        <v>1</v>
      </c>
      <c r="AR442" s="2" t="s">
        <v>1017</v>
      </c>
    </row>
    <row r="443" ht="12.75" customHeight="1">
      <c r="A443" s="4"/>
    </row>
    <row r="444" spans="1:45" ht="12.75" customHeight="1">
      <c r="A444" s="4">
        <f>DATE(74,4,4)</f>
        <v>27123</v>
      </c>
      <c r="C444" s="2" t="s">
        <v>367</v>
      </c>
      <c r="E444" s="18">
        <v>2</v>
      </c>
      <c r="F444" s="18">
        <v>1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T444" s="3">
        <v>3</v>
      </c>
      <c r="U444" s="3">
        <v>6</v>
      </c>
      <c r="V444" s="3">
        <v>3</v>
      </c>
      <c r="X444" s="2" t="s">
        <v>1010</v>
      </c>
      <c r="Y444" s="18">
        <v>0</v>
      </c>
      <c r="Z444" s="18">
        <v>1</v>
      </c>
      <c r="AA444" s="18">
        <v>0</v>
      </c>
      <c r="AB444" s="18">
        <v>0</v>
      </c>
      <c r="AC444" s="18">
        <v>0</v>
      </c>
      <c r="AD444" s="18">
        <v>1</v>
      </c>
      <c r="AE444" s="18">
        <v>2</v>
      </c>
      <c r="AN444" s="3">
        <v>4</v>
      </c>
      <c r="AO444" s="3">
        <v>5</v>
      </c>
      <c r="AP444" s="3">
        <v>2</v>
      </c>
      <c r="AR444" s="2" t="s">
        <v>1018</v>
      </c>
      <c r="AS444" s="2" t="s">
        <v>1040</v>
      </c>
    </row>
    <row r="445" spans="1:46" ht="12.75" customHeight="1">
      <c r="A445" s="4">
        <f>DATE(74,4,5)</f>
        <v>27124</v>
      </c>
      <c r="B445" s="2" t="s">
        <v>152</v>
      </c>
      <c r="C445" s="2" t="s">
        <v>169</v>
      </c>
      <c r="E445" s="18">
        <v>0</v>
      </c>
      <c r="F445" s="18">
        <v>0</v>
      </c>
      <c r="G445" s="18">
        <v>0</v>
      </c>
      <c r="H445" s="18">
        <v>0</v>
      </c>
      <c r="I445" s="18">
        <v>2</v>
      </c>
      <c r="J445" s="18">
        <v>0</v>
      </c>
      <c r="K445" s="18">
        <v>0</v>
      </c>
      <c r="T445" s="3">
        <v>2</v>
      </c>
      <c r="U445" s="3">
        <v>2</v>
      </c>
      <c r="V445" s="3">
        <v>1</v>
      </c>
      <c r="X445" s="2" t="s">
        <v>996</v>
      </c>
      <c r="Y445" s="18">
        <v>0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N445" s="3">
        <v>0</v>
      </c>
      <c r="AO445" s="3">
        <v>4</v>
      </c>
      <c r="AP445" s="3">
        <v>0</v>
      </c>
      <c r="AR445" s="2" t="s">
        <v>1019</v>
      </c>
      <c r="AS445" s="2" t="s">
        <v>244</v>
      </c>
      <c r="AT445" s="2" t="s">
        <v>194</v>
      </c>
    </row>
    <row r="446" spans="1:44" ht="12.75" customHeight="1">
      <c r="A446" s="4">
        <f>DATE(74,4,11)</f>
        <v>27130</v>
      </c>
      <c r="B446" s="2" t="s">
        <v>152</v>
      </c>
      <c r="C446" s="2" t="s">
        <v>379</v>
      </c>
      <c r="E446" s="18">
        <v>2</v>
      </c>
      <c r="F446" s="18">
        <v>0</v>
      </c>
      <c r="G446" s="18">
        <v>1</v>
      </c>
      <c r="H446" s="18">
        <v>0</v>
      </c>
      <c r="I446" s="18">
        <v>0</v>
      </c>
      <c r="J446" s="18">
        <v>0</v>
      </c>
      <c r="K446" s="18">
        <v>0</v>
      </c>
      <c r="T446" s="3">
        <v>3</v>
      </c>
      <c r="U446" s="3">
        <v>5</v>
      </c>
      <c r="V446" s="3">
        <v>2</v>
      </c>
      <c r="X446" s="2" t="s">
        <v>996</v>
      </c>
      <c r="Y446" s="18">
        <v>0</v>
      </c>
      <c r="Z446" s="18">
        <v>0</v>
      </c>
      <c r="AA446" s="18">
        <v>0</v>
      </c>
      <c r="AB446" s="18">
        <v>0</v>
      </c>
      <c r="AC446" s="18">
        <v>1</v>
      </c>
      <c r="AD446" s="18">
        <v>0</v>
      </c>
      <c r="AE446" s="18">
        <v>0</v>
      </c>
      <c r="AN446" s="3">
        <v>1</v>
      </c>
      <c r="AO446" s="3">
        <v>2</v>
      </c>
      <c r="AP446" s="3">
        <v>3</v>
      </c>
      <c r="AR446" s="2" t="s">
        <v>1020</v>
      </c>
    </row>
    <row r="447" spans="1:44" ht="12.75" customHeight="1">
      <c r="A447" s="4">
        <f>DATE(74,4,16)</f>
        <v>27135</v>
      </c>
      <c r="C447" s="2" t="s">
        <v>382</v>
      </c>
      <c r="E447" s="18">
        <v>0</v>
      </c>
      <c r="F447" s="18">
        <v>0</v>
      </c>
      <c r="G447" s="18">
        <v>0</v>
      </c>
      <c r="H447" s="18">
        <v>1</v>
      </c>
      <c r="I447" s="18">
        <v>2</v>
      </c>
      <c r="J447" s="18">
        <v>0</v>
      </c>
      <c r="K447" s="18" t="s">
        <v>162</v>
      </c>
      <c r="T447" s="3">
        <v>3</v>
      </c>
      <c r="U447" s="3">
        <v>5</v>
      </c>
      <c r="V447" s="3">
        <v>1</v>
      </c>
      <c r="X447" s="2" t="s">
        <v>1021</v>
      </c>
      <c r="Y447" s="18">
        <v>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  <c r="AE447" s="18">
        <v>1</v>
      </c>
      <c r="AN447" s="3">
        <v>1</v>
      </c>
      <c r="AO447" s="3">
        <v>5</v>
      </c>
      <c r="AP447" s="3">
        <v>2</v>
      </c>
      <c r="AR447" s="2" t="s">
        <v>1022</v>
      </c>
    </row>
    <row r="448" spans="1:44" ht="12.75" customHeight="1">
      <c r="A448" s="4">
        <f>DATE(74,4,18)</f>
        <v>27137</v>
      </c>
      <c r="C448" s="2" t="s">
        <v>174</v>
      </c>
      <c r="E448" s="18">
        <v>3</v>
      </c>
      <c r="F448" s="18">
        <v>3</v>
      </c>
      <c r="G448" s="18">
        <v>0</v>
      </c>
      <c r="H448" s="18">
        <v>2</v>
      </c>
      <c r="I448" s="18">
        <v>2</v>
      </c>
      <c r="J448" s="18">
        <v>0</v>
      </c>
      <c r="K448" s="18" t="s">
        <v>162</v>
      </c>
      <c r="T448" s="3">
        <v>10</v>
      </c>
      <c r="U448" s="3">
        <v>14</v>
      </c>
      <c r="V448" s="3">
        <v>1</v>
      </c>
      <c r="X448" s="2" t="s">
        <v>996</v>
      </c>
      <c r="Y448" s="18">
        <v>0</v>
      </c>
      <c r="Z448" s="18">
        <v>0</v>
      </c>
      <c r="AA448" s="18">
        <v>1</v>
      </c>
      <c r="AB448" s="18">
        <v>0</v>
      </c>
      <c r="AC448" s="18">
        <v>0</v>
      </c>
      <c r="AD448" s="18">
        <v>0</v>
      </c>
      <c r="AE448" s="18">
        <v>0</v>
      </c>
      <c r="AN448" s="3">
        <v>1</v>
      </c>
      <c r="AO448" s="3">
        <v>2</v>
      </c>
      <c r="AP448" s="3">
        <v>2</v>
      </c>
      <c r="AR448" s="2" t="s">
        <v>1023</v>
      </c>
    </row>
    <row r="449" spans="1:44" ht="12.75" customHeight="1">
      <c r="A449" s="4">
        <f>DATE(74,4,19)</f>
        <v>27138</v>
      </c>
      <c r="C449" s="2" t="s">
        <v>175</v>
      </c>
      <c r="E449" s="18">
        <v>1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T449" s="3">
        <v>1</v>
      </c>
      <c r="U449" s="3">
        <v>5</v>
      </c>
      <c r="V449" s="3">
        <v>1</v>
      </c>
      <c r="X449" s="2" t="s">
        <v>1021</v>
      </c>
      <c r="Y449" s="18">
        <v>1</v>
      </c>
      <c r="Z449" s="18">
        <v>0</v>
      </c>
      <c r="AA449" s="18">
        <v>1</v>
      </c>
      <c r="AB449" s="18">
        <v>0</v>
      </c>
      <c r="AC449" s="18">
        <v>0</v>
      </c>
      <c r="AD449" s="18">
        <v>0</v>
      </c>
      <c r="AE449" s="18">
        <v>0</v>
      </c>
      <c r="AN449" s="3">
        <v>2</v>
      </c>
      <c r="AO449" s="3">
        <v>7</v>
      </c>
      <c r="AP449" s="3">
        <v>4</v>
      </c>
      <c r="AR449" s="2" t="s">
        <v>1024</v>
      </c>
    </row>
    <row r="450" spans="1:44" ht="12.75" customHeight="1">
      <c r="A450" s="4">
        <f>DATE(74,4,25)</f>
        <v>27144</v>
      </c>
      <c r="B450" s="2" t="s">
        <v>152</v>
      </c>
      <c r="C450" s="2" t="s">
        <v>236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T450" s="3">
        <v>0</v>
      </c>
      <c r="U450" s="3">
        <v>5</v>
      </c>
      <c r="V450" s="3">
        <v>2</v>
      </c>
      <c r="X450" s="2" t="s">
        <v>1001</v>
      </c>
      <c r="Y450" s="18">
        <v>5</v>
      </c>
      <c r="Z450" s="18">
        <v>0</v>
      </c>
      <c r="AA450" s="18">
        <v>0</v>
      </c>
      <c r="AB450" s="18">
        <v>1</v>
      </c>
      <c r="AC450" s="18">
        <v>0</v>
      </c>
      <c r="AD450" s="18">
        <v>0</v>
      </c>
      <c r="AE450" s="18" t="s">
        <v>162</v>
      </c>
      <c r="AN450" s="3">
        <v>6</v>
      </c>
      <c r="AO450" s="3">
        <v>5</v>
      </c>
      <c r="AP450" s="3">
        <v>0</v>
      </c>
      <c r="AR450" s="2" t="s">
        <v>1025</v>
      </c>
    </row>
    <row r="451" spans="1:44" ht="12.75" customHeight="1">
      <c r="A451" s="4">
        <f>DATE(74,4,26)</f>
        <v>27145</v>
      </c>
      <c r="B451" s="2" t="s">
        <v>152</v>
      </c>
      <c r="C451" s="2" t="s">
        <v>374</v>
      </c>
      <c r="E451" s="18">
        <v>3</v>
      </c>
      <c r="F451" s="18">
        <v>4</v>
      </c>
      <c r="G451" s="18">
        <v>1</v>
      </c>
      <c r="H451" s="18">
        <v>0</v>
      </c>
      <c r="I451" s="18">
        <v>0</v>
      </c>
      <c r="J451" s="18">
        <v>1</v>
      </c>
      <c r="K451" s="18">
        <v>2</v>
      </c>
      <c r="T451" s="3">
        <v>11</v>
      </c>
      <c r="U451" s="3">
        <v>16</v>
      </c>
      <c r="V451" s="3">
        <v>2</v>
      </c>
      <c r="X451" s="2" t="s">
        <v>1021</v>
      </c>
      <c r="Y451" s="18">
        <v>0</v>
      </c>
      <c r="Z451" s="18">
        <v>3</v>
      </c>
      <c r="AA451" s="18">
        <v>0</v>
      </c>
      <c r="AB451" s="18">
        <v>0</v>
      </c>
      <c r="AC451" s="18">
        <v>0</v>
      </c>
      <c r="AD451" s="18">
        <v>0</v>
      </c>
      <c r="AE451" s="18">
        <v>3</v>
      </c>
      <c r="AN451" s="3">
        <v>6</v>
      </c>
      <c r="AO451" s="3">
        <v>7</v>
      </c>
      <c r="AP451" s="3">
        <v>4</v>
      </c>
      <c r="AR451" s="2" t="s">
        <v>1026</v>
      </c>
    </row>
    <row r="452" spans="1:44" ht="12.75" customHeight="1">
      <c r="A452" s="4">
        <f>DATE(74,4,30)</f>
        <v>27149</v>
      </c>
      <c r="C452" s="2" t="s">
        <v>378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3</v>
      </c>
      <c r="T452" s="3">
        <v>3</v>
      </c>
      <c r="U452" s="3">
        <v>5</v>
      </c>
      <c r="V452" s="3">
        <v>5</v>
      </c>
      <c r="X452" s="2" t="s">
        <v>1027</v>
      </c>
      <c r="Y452" s="18">
        <v>0</v>
      </c>
      <c r="Z452" s="18">
        <v>1</v>
      </c>
      <c r="AA452" s="18">
        <v>0</v>
      </c>
      <c r="AB452" s="18">
        <v>0</v>
      </c>
      <c r="AC452" s="18">
        <v>0</v>
      </c>
      <c r="AD452" s="18">
        <v>0</v>
      </c>
      <c r="AE452" s="18">
        <v>1</v>
      </c>
      <c r="AN452" s="3">
        <v>2</v>
      </c>
      <c r="AO452" s="3">
        <v>3</v>
      </c>
      <c r="AP452" s="3">
        <v>1</v>
      </c>
      <c r="AR452" s="2" t="s">
        <v>1028</v>
      </c>
    </row>
    <row r="453" spans="1:44" ht="12.75" customHeight="1">
      <c r="A453" s="4">
        <f>DATE(74,5,2)</f>
        <v>27151</v>
      </c>
      <c r="B453" s="2" t="s">
        <v>152</v>
      </c>
      <c r="C453" s="2" t="s">
        <v>175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T453" s="3">
        <v>0</v>
      </c>
      <c r="U453" s="3">
        <v>5</v>
      </c>
      <c r="V453" s="3">
        <v>4</v>
      </c>
      <c r="X453" s="2" t="s">
        <v>1029</v>
      </c>
      <c r="Y453" s="18">
        <v>3</v>
      </c>
      <c r="Z453" s="18">
        <v>0</v>
      </c>
      <c r="AA453" s="18">
        <v>0</v>
      </c>
      <c r="AB453" s="18">
        <v>5</v>
      </c>
      <c r="AC453" s="18">
        <v>0</v>
      </c>
      <c r="AD453" s="18">
        <v>1</v>
      </c>
      <c r="AE453" s="18" t="s">
        <v>162</v>
      </c>
      <c r="AN453" s="3">
        <v>9</v>
      </c>
      <c r="AO453" s="3">
        <v>12</v>
      </c>
      <c r="AP453" s="3">
        <v>3</v>
      </c>
      <c r="AR453" s="2" t="s">
        <v>1024</v>
      </c>
    </row>
    <row r="454" spans="1:44" ht="12.75" customHeight="1">
      <c r="A454" s="4">
        <f>DATE(74,5,7)</f>
        <v>27156</v>
      </c>
      <c r="C454" s="2" t="s">
        <v>379</v>
      </c>
      <c r="E454" s="18">
        <v>1</v>
      </c>
      <c r="F454" s="18">
        <v>0</v>
      </c>
      <c r="G454" s="18">
        <v>3</v>
      </c>
      <c r="H454" s="18">
        <v>0</v>
      </c>
      <c r="I454" s="18">
        <v>0</v>
      </c>
      <c r="J454" s="18">
        <v>3</v>
      </c>
      <c r="K454" s="18" t="s">
        <v>162</v>
      </c>
      <c r="T454" s="3">
        <v>7</v>
      </c>
      <c r="U454" s="3">
        <v>9</v>
      </c>
      <c r="V454" s="3">
        <v>4</v>
      </c>
      <c r="X454" s="2" t="s">
        <v>1021</v>
      </c>
      <c r="Y454" s="18">
        <v>0</v>
      </c>
      <c r="Z454" s="18">
        <v>0</v>
      </c>
      <c r="AA454" s="18">
        <v>1</v>
      </c>
      <c r="AB454" s="18">
        <v>0</v>
      </c>
      <c r="AC454" s="18">
        <v>0</v>
      </c>
      <c r="AD454" s="18">
        <v>0</v>
      </c>
      <c r="AE454" s="18">
        <v>1</v>
      </c>
      <c r="AN454" s="3">
        <v>2</v>
      </c>
      <c r="AO454" s="3">
        <v>9</v>
      </c>
      <c r="AP454" s="3">
        <v>4</v>
      </c>
      <c r="AR454" s="2" t="s">
        <v>1030</v>
      </c>
    </row>
    <row r="455" spans="1:44" ht="12.75" customHeight="1">
      <c r="A455" s="4">
        <f>DATE(74,5,11)</f>
        <v>27160</v>
      </c>
      <c r="B455" s="2" t="s">
        <v>152</v>
      </c>
      <c r="C455" s="2" t="s">
        <v>367</v>
      </c>
      <c r="E455" s="18">
        <v>3</v>
      </c>
      <c r="F455" s="18">
        <v>0</v>
      </c>
      <c r="G455" s="18">
        <v>1</v>
      </c>
      <c r="H455" s="18">
        <v>1</v>
      </c>
      <c r="I455" s="18">
        <v>4</v>
      </c>
      <c r="J455" s="18">
        <v>0</v>
      </c>
      <c r="K455" s="18">
        <v>0</v>
      </c>
      <c r="T455" s="3">
        <v>9</v>
      </c>
      <c r="U455" s="3">
        <v>8</v>
      </c>
      <c r="V455" s="3">
        <v>0</v>
      </c>
      <c r="X455" s="2" t="s">
        <v>996</v>
      </c>
      <c r="Y455" s="18">
        <v>0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N455" s="3">
        <v>0</v>
      </c>
      <c r="AO455" s="3">
        <v>3</v>
      </c>
      <c r="AP455" s="3">
        <v>2</v>
      </c>
      <c r="AR455" s="2" t="s">
        <v>1031</v>
      </c>
    </row>
    <row r="456" spans="1:44" ht="12.75" customHeight="1">
      <c r="A456" s="4">
        <f>DATE(74,5,11)</f>
        <v>27160</v>
      </c>
      <c r="B456" s="2" t="s">
        <v>152</v>
      </c>
      <c r="C456" s="2" t="s">
        <v>367</v>
      </c>
      <c r="E456" s="18">
        <v>4</v>
      </c>
      <c r="F456" s="18">
        <v>0</v>
      </c>
      <c r="G456" s="18">
        <v>2</v>
      </c>
      <c r="H456" s="18">
        <v>4</v>
      </c>
      <c r="I456" s="18">
        <v>0</v>
      </c>
      <c r="J456" s="18">
        <v>5</v>
      </c>
      <c r="K456" s="18">
        <v>0</v>
      </c>
      <c r="T456" s="3">
        <v>15</v>
      </c>
      <c r="U456" s="3">
        <v>10</v>
      </c>
      <c r="V456" s="3">
        <v>0</v>
      </c>
      <c r="X456" s="2" t="s">
        <v>1032</v>
      </c>
      <c r="Y456" s="18">
        <v>0</v>
      </c>
      <c r="Z456" s="18">
        <v>0</v>
      </c>
      <c r="AA456" s="18">
        <v>0</v>
      </c>
      <c r="AB456" s="18">
        <v>2</v>
      </c>
      <c r="AC456" s="18">
        <v>0</v>
      </c>
      <c r="AD456" s="18">
        <v>0</v>
      </c>
      <c r="AE456" s="18">
        <v>0</v>
      </c>
      <c r="AN456" s="3">
        <v>2</v>
      </c>
      <c r="AO456" s="3">
        <v>1</v>
      </c>
      <c r="AP456" s="3">
        <v>3</v>
      </c>
      <c r="AR456" s="2" t="s">
        <v>1033</v>
      </c>
    </row>
    <row r="457" spans="1:44" ht="12.75" customHeight="1">
      <c r="A457" s="4">
        <f>DATE(74,5,14)</f>
        <v>27163</v>
      </c>
      <c r="B457" s="2" t="s">
        <v>152</v>
      </c>
      <c r="C457" s="2" t="s">
        <v>174</v>
      </c>
      <c r="E457" s="18">
        <v>1</v>
      </c>
      <c r="F457" s="18">
        <v>0</v>
      </c>
      <c r="G457" s="18">
        <v>0</v>
      </c>
      <c r="H457" s="18">
        <v>0</v>
      </c>
      <c r="I457" s="18">
        <v>0</v>
      </c>
      <c r="J457" s="18">
        <v>1</v>
      </c>
      <c r="K457" s="18">
        <v>1</v>
      </c>
      <c r="L457" s="18">
        <v>0</v>
      </c>
      <c r="M457" s="18">
        <v>0</v>
      </c>
      <c r="T457" s="3">
        <v>3</v>
      </c>
      <c r="U457" s="3">
        <v>11</v>
      </c>
      <c r="V457" s="3">
        <v>2</v>
      </c>
      <c r="X457" s="2" t="s">
        <v>1034</v>
      </c>
      <c r="Y457" s="18">
        <v>2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1</v>
      </c>
      <c r="AF457" s="18">
        <v>0</v>
      </c>
      <c r="AG457" s="18">
        <v>1</v>
      </c>
      <c r="AN457" s="3">
        <v>4</v>
      </c>
      <c r="AO457" s="3">
        <v>7</v>
      </c>
      <c r="AP457" s="3">
        <v>4</v>
      </c>
      <c r="AR457" s="2" t="s">
        <v>1035</v>
      </c>
    </row>
    <row r="458" spans="1:44" ht="12.75" customHeight="1">
      <c r="A458" s="4">
        <f>DATE(74,5,16)</f>
        <v>27165</v>
      </c>
      <c r="C458" s="2" t="s">
        <v>374</v>
      </c>
      <c r="E458" s="18">
        <v>4</v>
      </c>
      <c r="F458" s="18">
        <v>4</v>
      </c>
      <c r="G458" s="18">
        <v>4</v>
      </c>
      <c r="H458" s="18">
        <v>0</v>
      </c>
      <c r="I458" s="18">
        <v>2</v>
      </c>
      <c r="J458" s="18">
        <v>0</v>
      </c>
      <c r="K458" s="18" t="s">
        <v>162</v>
      </c>
      <c r="T458" s="3">
        <v>14</v>
      </c>
      <c r="U458" s="3">
        <v>13</v>
      </c>
      <c r="V458" s="3">
        <v>2</v>
      </c>
      <c r="X458" s="2" t="s">
        <v>996</v>
      </c>
      <c r="Y458" s="18">
        <v>0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  <c r="AE458" s="18">
        <v>0</v>
      </c>
      <c r="AN458" s="3">
        <v>0</v>
      </c>
      <c r="AO458" s="3">
        <v>3</v>
      </c>
      <c r="AP458" s="3">
        <v>5</v>
      </c>
      <c r="AR458" s="2" t="s">
        <v>1036</v>
      </c>
    </row>
    <row r="459" spans="1:44" ht="12.75" customHeight="1">
      <c r="A459" s="4">
        <f>DATE(74,5,21)</f>
        <v>27170</v>
      </c>
      <c r="C459" s="2" t="s">
        <v>236</v>
      </c>
      <c r="E459" s="18">
        <v>0</v>
      </c>
      <c r="F459" s="18">
        <v>0</v>
      </c>
      <c r="G459" s="18">
        <v>2</v>
      </c>
      <c r="H459" s="18">
        <v>0</v>
      </c>
      <c r="I459" s="18">
        <v>1</v>
      </c>
      <c r="J459" s="18">
        <v>0</v>
      </c>
      <c r="K459" s="18">
        <v>0</v>
      </c>
      <c r="T459" s="3">
        <v>3</v>
      </c>
      <c r="U459" s="3">
        <v>7</v>
      </c>
      <c r="V459" s="3">
        <v>1</v>
      </c>
      <c r="X459" s="2" t="s">
        <v>1021</v>
      </c>
      <c r="Y459" s="18">
        <v>0</v>
      </c>
      <c r="Z459" s="18">
        <v>0</v>
      </c>
      <c r="AA459" s="18">
        <v>0</v>
      </c>
      <c r="AB459" s="18">
        <v>4</v>
      </c>
      <c r="AC459" s="18">
        <v>0</v>
      </c>
      <c r="AD459" s="18">
        <v>1</v>
      </c>
      <c r="AE459" s="18">
        <v>1</v>
      </c>
      <c r="AN459" s="3">
        <v>6</v>
      </c>
      <c r="AO459" s="3">
        <v>11</v>
      </c>
      <c r="AP459" s="3">
        <v>4</v>
      </c>
      <c r="AR459" s="2" t="s">
        <v>1025</v>
      </c>
    </row>
    <row r="460" spans="1:44" ht="12.75" customHeight="1">
      <c r="A460" s="4">
        <f>DATE(74,5,22)</f>
        <v>27171</v>
      </c>
      <c r="B460" s="2" t="s">
        <v>239</v>
      </c>
      <c r="C460" s="2" t="s">
        <v>383</v>
      </c>
      <c r="D460" s="2" t="s">
        <v>243</v>
      </c>
      <c r="E460" s="18">
        <v>1</v>
      </c>
      <c r="F460" s="18">
        <v>0</v>
      </c>
      <c r="G460" s="18">
        <v>1</v>
      </c>
      <c r="H460" s="18">
        <v>0</v>
      </c>
      <c r="I460" s="18">
        <v>0</v>
      </c>
      <c r="J460" s="18">
        <v>0</v>
      </c>
      <c r="K460" s="18">
        <v>0</v>
      </c>
      <c r="T460" s="3">
        <v>2</v>
      </c>
      <c r="U460" s="3">
        <v>3</v>
      </c>
      <c r="V460" s="3">
        <v>0</v>
      </c>
      <c r="X460" s="2" t="s">
        <v>1001</v>
      </c>
      <c r="Y460" s="18">
        <v>0</v>
      </c>
      <c r="Z460" s="18">
        <v>1</v>
      </c>
      <c r="AA460" s="18">
        <v>1</v>
      </c>
      <c r="AB460" s="18">
        <v>0</v>
      </c>
      <c r="AC460" s="18">
        <v>0</v>
      </c>
      <c r="AD460" s="18">
        <v>5</v>
      </c>
      <c r="AE460" s="18" t="s">
        <v>162</v>
      </c>
      <c r="AN460" s="3">
        <v>7</v>
      </c>
      <c r="AO460" s="3">
        <v>9</v>
      </c>
      <c r="AP460" s="3">
        <v>1</v>
      </c>
      <c r="AR460" s="2" t="s">
        <v>1037</v>
      </c>
    </row>
    <row r="461" ht="12.75" customHeight="1">
      <c r="A461" s="4"/>
    </row>
    <row r="462" spans="1:45" ht="12.75" customHeight="1">
      <c r="A462" s="4">
        <f>DATE(75,4,8)</f>
        <v>27492</v>
      </c>
      <c r="B462" s="2" t="s">
        <v>152</v>
      </c>
      <c r="C462" s="2" t="s">
        <v>378</v>
      </c>
      <c r="E462" s="18">
        <v>2</v>
      </c>
      <c r="F462" s="18">
        <v>0</v>
      </c>
      <c r="G462" s="18">
        <v>1</v>
      </c>
      <c r="H462" s="18">
        <v>2</v>
      </c>
      <c r="I462" s="18">
        <v>0</v>
      </c>
      <c r="J462" s="18">
        <v>1</v>
      </c>
      <c r="K462" s="18">
        <v>0</v>
      </c>
      <c r="T462" s="3">
        <v>6</v>
      </c>
      <c r="U462" s="3">
        <v>4</v>
      </c>
      <c r="V462" s="3">
        <v>2</v>
      </c>
      <c r="X462" s="2" t="s">
        <v>1038</v>
      </c>
      <c r="Y462" s="18">
        <v>1</v>
      </c>
      <c r="Z462" s="18">
        <v>1</v>
      </c>
      <c r="AA462" s="18">
        <v>3</v>
      </c>
      <c r="AB462" s="18">
        <v>0</v>
      </c>
      <c r="AC462" s="18">
        <v>0</v>
      </c>
      <c r="AD462" s="18">
        <v>0</v>
      </c>
      <c r="AE462" s="18">
        <v>2</v>
      </c>
      <c r="AN462" s="3">
        <v>7</v>
      </c>
      <c r="AO462" s="3">
        <v>12</v>
      </c>
      <c r="AP462" s="3">
        <v>5</v>
      </c>
      <c r="AR462" s="2" t="s">
        <v>1039</v>
      </c>
      <c r="AS462" s="2" t="s">
        <v>1040</v>
      </c>
    </row>
    <row r="463" spans="1:46" ht="12.75" customHeight="1">
      <c r="A463" s="4">
        <f>DATE(75,4,10)</f>
        <v>27494</v>
      </c>
      <c r="C463" s="2" t="s">
        <v>175</v>
      </c>
      <c r="E463" s="18">
        <v>0</v>
      </c>
      <c r="F463" s="18">
        <v>1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T463" s="3">
        <v>1</v>
      </c>
      <c r="U463" s="3">
        <v>6</v>
      </c>
      <c r="V463" s="3">
        <v>3</v>
      </c>
      <c r="X463" s="2" t="s">
        <v>1041</v>
      </c>
      <c r="Y463" s="18">
        <v>0</v>
      </c>
      <c r="Z463" s="18">
        <v>0</v>
      </c>
      <c r="AA463" s="18">
        <v>0</v>
      </c>
      <c r="AB463" s="18">
        <v>3</v>
      </c>
      <c r="AC463" s="18">
        <v>0</v>
      </c>
      <c r="AD463" s="18">
        <v>0</v>
      </c>
      <c r="AE463" s="18">
        <v>0</v>
      </c>
      <c r="AN463" s="3">
        <v>3</v>
      </c>
      <c r="AO463" s="3">
        <v>3</v>
      </c>
      <c r="AP463" s="3">
        <v>2</v>
      </c>
      <c r="AR463" s="2" t="s">
        <v>1042</v>
      </c>
      <c r="AS463" s="2" t="s">
        <v>193</v>
      </c>
      <c r="AT463" s="2" t="s">
        <v>235</v>
      </c>
    </row>
    <row r="464" spans="1:44" ht="12.75" customHeight="1">
      <c r="A464" s="4">
        <f>DATE(75,4,16)</f>
        <v>27500</v>
      </c>
      <c r="B464" s="2" t="s">
        <v>152</v>
      </c>
      <c r="C464" s="2" t="s">
        <v>379</v>
      </c>
      <c r="E464" s="18">
        <v>0</v>
      </c>
      <c r="F464" s="18">
        <v>0</v>
      </c>
      <c r="G464" s="18">
        <v>0</v>
      </c>
      <c r="H464" s="18">
        <v>0</v>
      </c>
      <c r="I464" s="18">
        <v>1</v>
      </c>
      <c r="J464" s="18">
        <v>0</v>
      </c>
      <c r="K464" s="18">
        <v>0</v>
      </c>
      <c r="T464" s="3">
        <v>1</v>
      </c>
      <c r="U464" s="3">
        <v>4</v>
      </c>
      <c r="V464" s="3">
        <v>1</v>
      </c>
      <c r="X464" s="2" t="s">
        <v>1043</v>
      </c>
      <c r="Y464" s="18">
        <v>0</v>
      </c>
      <c r="Z464" s="18">
        <v>0</v>
      </c>
      <c r="AA464" s="18">
        <v>0</v>
      </c>
      <c r="AB464" s="18">
        <v>0</v>
      </c>
      <c r="AC464" s="18">
        <v>2</v>
      </c>
      <c r="AD464" s="18">
        <v>0</v>
      </c>
      <c r="AE464" s="18" t="s">
        <v>162</v>
      </c>
      <c r="AN464" s="3">
        <v>2</v>
      </c>
      <c r="AO464" s="3">
        <v>5</v>
      </c>
      <c r="AP464" s="3">
        <v>2</v>
      </c>
      <c r="AR464" s="2" t="s">
        <v>1044</v>
      </c>
    </row>
    <row r="465" spans="1:44" ht="12.75" customHeight="1">
      <c r="A465" s="4">
        <f>DATE(75,4,17)</f>
        <v>27501</v>
      </c>
      <c r="B465" s="2" t="s">
        <v>152</v>
      </c>
      <c r="C465" s="2" t="s">
        <v>382</v>
      </c>
      <c r="E465" s="18">
        <v>4</v>
      </c>
      <c r="F465" s="18">
        <v>1</v>
      </c>
      <c r="G465" s="18">
        <v>3</v>
      </c>
      <c r="H465" s="18">
        <v>2</v>
      </c>
      <c r="I465" s="18">
        <v>0</v>
      </c>
      <c r="J465" s="18">
        <v>2</v>
      </c>
      <c r="K465" s="18">
        <v>0</v>
      </c>
      <c r="T465" s="3">
        <v>12</v>
      </c>
      <c r="U465" s="3">
        <v>10</v>
      </c>
      <c r="V465" s="3">
        <v>2</v>
      </c>
      <c r="X465" s="2" t="s">
        <v>1045</v>
      </c>
      <c r="Y465" s="18">
        <v>0</v>
      </c>
      <c r="Z465" s="18">
        <v>3</v>
      </c>
      <c r="AA465" s="18">
        <v>0</v>
      </c>
      <c r="AB465" s="18">
        <v>0</v>
      </c>
      <c r="AC465" s="18">
        <v>0</v>
      </c>
      <c r="AD465" s="18">
        <v>0</v>
      </c>
      <c r="AE465" s="18">
        <v>0</v>
      </c>
      <c r="AN465" s="3">
        <v>3</v>
      </c>
      <c r="AO465" s="3">
        <v>2</v>
      </c>
      <c r="AP465" s="3">
        <v>4</v>
      </c>
      <c r="AR465" s="2" t="s">
        <v>1046</v>
      </c>
    </row>
    <row r="466" spans="1:44" ht="12.75" customHeight="1">
      <c r="A466" s="4">
        <f>DATE(75,4,22)</f>
        <v>27506</v>
      </c>
      <c r="C466" s="2" t="s">
        <v>174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T466" s="3">
        <v>0</v>
      </c>
      <c r="U466" s="3">
        <v>3</v>
      </c>
      <c r="V466" s="3">
        <v>4</v>
      </c>
      <c r="X466" s="2" t="s">
        <v>1047</v>
      </c>
      <c r="Y466" s="18">
        <v>1</v>
      </c>
      <c r="Z466" s="18">
        <v>0</v>
      </c>
      <c r="AA466" s="18">
        <v>3</v>
      </c>
      <c r="AB466" s="18">
        <v>2</v>
      </c>
      <c r="AC466" s="18">
        <v>0</v>
      </c>
      <c r="AD466" s="18">
        <v>0</v>
      </c>
      <c r="AE466" s="18">
        <v>0</v>
      </c>
      <c r="AN466" s="3">
        <v>6</v>
      </c>
      <c r="AO466" s="3">
        <v>10</v>
      </c>
      <c r="AP466" s="3">
        <v>4</v>
      </c>
      <c r="AR466" s="2" t="s">
        <v>1048</v>
      </c>
    </row>
    <row r="467" spans="1:44" ht="12.75" customHeight="1">
      <c r="A467" s="4">
        <f>DATE(75,4,28)</f>
        <v>27512</v>
      </c>
      <c r="B467" s="2" t="s">
        <v>152</v>
      </c>
      <c r="C467" s="2" t="s">
        <v>374</v>
      </c>
      <c r="E467" s="18">
        <v>1</v>
      </c>
      <c r="F467" s="18">
        <v>0</v>
      </c>
      <c r="G467" s="18">
        <v>2</v>
      </c>
      <c r="H467" s="18">
        <v>2</v>
      </c>
      <c r="I467" s="18">
        <v>0</v>
      </c>
      <c r="J467" s="18">
        <v>1</v>
      </c>
      <c r="K467" s="18">
        <v>0</v>
      </c>
      <c r="T467" s="3">
        <v>6</v>
      </c>
      <c r="U467" s="3">
        <v>7</v>
      </c>
      <c r="V467" s="3">
        <v>1</v>
      </c>
      <c r="X467" s="2" t="s">
        <v>1049</v>
      </c>
      <c r="Y467" s="18">
        <v>1</v>
      </c>
      <c r="Z467" s="18">
        <v>0</v>
      </c>
      <c r="AA467" s="18">
        <v>2</v>
      </c>
      <c r="AB467" s="18">
        <v>0</v>
      </c>
      <c r="AC467" s="18">
        <v>0</v>
      </c>
      <c r="AD467" s="18">
        <v>0</v>
      </c>
      <c r="AE467" s="18">
        <v>0</v>
      </c>
      <c r="AN467" s="3">
        <v>3</v>
      </c>
      <c r="AO467" s="3">
        <v>3</v>
      </c>
      <c r="AP467" s="3">
        <v>3</v>
      </c>
      <c r="AR467" s="2" t="s">
        <v>1050</v>
      </c>
    </row>
    <row r="468" spans="1:44" ht="12.75" customHeight="1">
      <c r="A468" s="4">
        <f>DATE(75,4,29)</f>
        <v>27513</v>
      </c>
      <c r="B468" s="2" t="s">
        <v>152</v>
      </c>
      <c r="C468" s="2" t="s">
        <v>236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T468" s="3">
        <v>0</v>
      </c>
      <c r="U468" s="3">
        <v>4</v>
      </c>
      <c r="V468" s="3">
        <v>1</v>
      </c>
      <c r="X468" s="2" t="s">
        <v>1051</v>
      </c>
      <c r="Y468" s="18">
        <v>0</v>
      </c>
      <c r="Z468" s="18">
        <v>0</v>
      </c>
      <c r="AA468" s="18">
        <v>0</v>
      </c>
      <c r="AB468" s="18">
        <v>0</v>
      </c>
      <c r="AC468" s="18">
        <v>0</v>
      </c>
      <c r="AD468" s="18">
        <v>2</v>
      </c>
      <c r="AE468" s="18" t="s">
        <v>162</v>
      </c>
      <c r="AN468" s="3">
        <v>2</v>
      </c>
      <c r="AO468" s="3">
        <v>3</v>
      </c>
      <c r="AP468" s="3">
        <v>1</v>
      </c>
      <c r="AR468" s="2" t="s">
        <v>1052</v>
      </c>
    </row>
    <row r="469" spans="1:44" ht="12.75" customHeight="1">
      <c r="A469" s="4">
        <f>DATE(75,5,5)</f>
        <v>27519</v>
      </c>
      <c r="C469" s="2" t="s">
        <v>367</v>
      </c>
      <c r="E469" s="18">
        <v>0</v>
      </c>
      <c r="F469" s="18">
        <v>0</v>
      </c>
      <c r="G469" s="18">
        <v>1</v>
      </c>
      <c r="H469" s="18">
        <v>0</v>
      </c>
      <c r="I469" s="18">
        <v>0</v>
      </c>
      <c r="J469" s="18">
        <v>0</v>
      </c>
      <c r="K469" s="18">
        <v>0</v>
      </c>
      <c r="T469" s="3">
        <v>1</v>
      </c>
      <c r="U469" s="3">
        <v>4</v>
      </c>
      <c r="V469" s="3">
        <v>4</v>
      </c>
      <c r="X469" s="2" t="s">
        <v>1043</v>
      </c>
      <c r="Y469" s="18">
        <v>0</v>
      </c>
      <c r="Z469" s="18">
        <v>0</v>
      </c>
      <c r="AA469" s="18">
        <v>0</v>
      </c>
      <c r="AB469" s="18">
        <v>0</v>
      </c>
      <c r="AC469" s="18">
        <v>1</v>
      </c>
      <c r="AD469" s="18">
        <v>4</v>
      </c>
      <c r="AE469" s="18">
        <v>2</v>
      </c>
      <c r="AN469" s="3">
        <v>7</v>
      </c>
      <c r="AO469" s="3">
        <v>9</v>
      </c>
      <c r="AP469" s="3">
        <v>1</v>
      </c>
      <c r="AR469" s="2" t="s">
        <v>1053</v>
      </c>
    </row>
    <row r="470" spans="1:44" ht="12.75" customHeight="1">
      <c r="A470" s="4">
        <f>DATE(75,5,7)</f>
        <v>27521</v>
      </c>
      <c r="B470" s="2" t="s">
        <v>152</v>
      </c>
      <c r="C470" s="2" t="s">
        <v>175</v>
      </c>
      <c r="E470" s="18">
        <v>2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T470" s="3">
        <v>2</v>
      </c>
      <c r="U470" s="3">
        <v>5</v>
      </c>
      <c r="V470" s="3">
        <v>5</v>
      </c>
      <c r="X470" s="2" t="s">
        <v>1054</v>
      </c>
      <c r="Y470" s="18">
        <v>0</v>
      </c>
      <c r="Z470" s="18">
        <v>0</v>
      </c>
      <c r="AA470" s="18">
        <v>2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1</v>
      </c>
      <c r="AN470" s="3">
        <v>3</v>
      </c>
      <c r="AO470" s="3">
        <v>8</v>
      </c>
      <c r="AP470" s="3">
        <v>4</v>
      </c>
      <c r="AR470" s="2" t="s">
        <v>1055</v>
      </c>
    </row>
    <row r="471" spans="1:44" ht="12.75" customHeight="1">
      <c r="A471" s="4">
        <f>DATE(75,5,8)</f>
        <v>27522</v>
      </c>
      <c r="C471" s="2" t="s">
        <v>379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4</v>
      </c>
      <c r="K471" s="18" t="s">
        <v>162</v>
      </c>
      <c r="T471" s="3">
        <v>4</v>
      </c>
      <c r="U471" s="3">
        <v>6</v>
      </c>
      <c r="V471" s="3">
        <v>1</v>
      </c>
      <c r="X471" s="2" t="s">
        <v>1032</v>
      </c>
      <c r="Y471" s="18">
        <v>1</v>
      </c>
      <c r="Z471" s="18">
        <v>0</v>
      </c>
      <c r="AA471" s="18">
        <v>1</v>
      </c>
      <c r="AB471" s="18">
        <v>0</v>
      </c>
      <c r="AC471" s="18">
        <v>0</v>
      </c>
      <c r="AD471" s="18">
        <v>0</v>
      </c>
      <c r="AE471" s="18">
        <v>0</v>
      </c>
      <c r="AN471" s="3">
        <v>2</v>
      </c>
      <c r="AO471" s="3">
        <v>3</v>
      </c>
      <c r="AP471" s="3">
        <v>2</v>
      </c>
      <c r="AR471" s="2" t="s">
        <v>1030</v>
      </c>
    </row>
    <row r="472" spans="1:44" ht="12.75" customHeight="1">
      <c r="A472" s="4">
        <f>DATE(75,5,11)</f>
        <v>27525</v>
      </c>
      <c r="B472" s="2" t="s">
        <v>152</v>
      </c>
      <c r="C472" s="2" t="s">
        <v>367</v>
      </c>
      <c r="E472" s="18">
        <v>3</v>
      </c>
      <c r="F472" s="18">
        <v>2</v>
      </c>
      <c r="G472" s="18">
        <v>0</v>
      </c>
      <c r="H472" s="18">
        <v>1</v>
      </c>
      <c r="I472" s="18">
        <v>0</v>
      </c>
      <c r="J472" s="18">
        <v>2</v>
      </c>
      <c r="K472" s="18">
        <v>0</v>
      </c>
      <c r="T472" s="3">
        <v>8</v>
      </c>
      <c r="U472" s="3">
        <v>9</v>
      </c>
      <c r="V472" s="3">
        <v>2</v>
      </c>
      <c r="X472" s="2" t="s">
        <v>1056</v>
      </c>
      <c r="Y472" s="18"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4</v>
      </c>
      <c r="AN472" s="3">
        <v>4</v>
      </c>
      <c r="AO472" s="3">
        <v>3</v>
      </c>
      <c r="AP472" s="3">
        <v>2</v>
      </c>
      <c r="AR472" s="2" t="s">
        <v>1057</v>
      </c>
    </row>
    <row r="473" spans="1:44" ht="12.75" customHeight="1">
      <c r="A473" s="4">
        <f>DATE(75,5,11)</f>
        <v>27525</v>
      </c>
      <c r="B473" s="2" t="s">
        <v>152</v>
      </c>
      <c r="C473" s="2" t="s">
        <v>367</v>
      </c>
      <c r="E473" s="18">
        <v>0</v>
      </c>
      <c r="F473" s="18">
        <v>2</v>
      </c>
      <c r="G473" s="18">
        <v>1</v>
      </c>
      <c r="H473" s="18">
        <v>1</v>
      </c>
      <c r="I473" s="18">
        <v>0</v>
      </c>
      <c r="J473" s="18">
        <v>0</v>
      </c>
      <c r="K473" s="18">
        <v>0</v>
      </c>
      <c r="T473" s="3">
        <v>4</v>
      </c>
      <c r="U473" s="3">
        <v>10</v>
      </c>
      <c r="V473" s="3">
        <v>2</v>
      </c>
      <c r="X473" s="2" t="s">
        <v>1058</v>
      </c>
      <c r="Y473" s="18">
        <v>0</v>
      </c>
      <c r="Z473" s="18">
        <v>0</v>
      </c>
      <c r="AA473" s="18">
        <v>0</v>
      </c>
      <c r="AB473" s="18">
        <v>1</v>
      </c>
      <c r="AC473" s="18">
        <v>7</v>
      </c>
      <c r="AD473" s="18">
        <v>2</v>
      </c>
      <c r="AE473" s="18">
        <v>0</v>
      </c>
      <c r="AN473" s="3">
        <v>10</v>
      </c>
      <c r="AO473" s="3">
        <v>10</v>
      </c>
      <c r="AP473" s="3">
        <v>3</v>
      </c>
      <c r="AR473" s="2" t="s">
        <v>1053</v>
      </c>
    </row>
    <row r="474" spans="1:44" ht="12.75" customHeight="1">
      <c r="A474" s="4">
        <f>DATE(75,5,14)</f>
        <v>27528</v>
      </c>
      <c r="C474" s="2" t="s">
        <v>382</v>
      </c>
      <c r="E474" s="18">
        <v>2</v>
      </c>
      <c r="F474" s="18">
        <v>3</v>
      </c>
      <c r="G474" s="18">
        <v>0</v>
      </c>
      <c r="H474" s="18">
        <v>2</v>
      </c>
      <c r="I474" s="18">
        <v>0</v>
      </c>
      <c r="J474" s="18">
        <v>0</v>
      </c>
      <c r="K474" s="18" t="s">
        <v>162</v>
      </c>
      <c r="T474" s="3">
        <v>7</v>
      </c>
      <c r="U474" s="3">
        <v>10</v>
      </c>
      <c r="V474" s="3">
        <v>0</v>
      </c>
      <c r="X474" s="2" t="s">
        <v>1021</v>
      </c>
      <c r="Y474" s="18">
        <v>0</v>
      </c>
      <c r="Z474" s="18">
        <v>1</v>
      </c>
      <c r="AA474" s="18">
        <v>0</v>
      </c>
      <c r="AB474" s="18">
        <v>0</v>
      </c>
      <c r="AC474" s="18">
        <v>0</v>
      </c>
      <c r="AD474" s="18">
        <v>1</v>
      </c>
      <c r="AE474" s="18">
        <v>0</v>
      </c>
      <c r="AN474" s="3">
        <v>2</v>
      </c>
      <c r="AO474" s="3">
        <v>3</v>
      </c>
      <c r="AP474" s="3">
        <v>6</v>
      </c>
      <c r="AR474" s="2" t="s">
        <v>1059</v>
      </c>
    </row>
    <row r="475" spans="1:44" ht="12.75" customHeight="1">
      <c r="A475" s="4">
        <f>DATE(75,5,16)</f>
        <v>27530</v>
      </c>
      <c r="C475" s="2" t="s">
        <v>378</v>
      </c>
      <c r="E475" s="18">
        <v>0</v>
      </c>
      <c r="F475" s="18">
        <v>0</v>
      </c>
      <c r="G475" s="18">
        <v>0</v>
      </c>
      <c r="H475" s="18">
        <v>0</v>
      </c>
      <c r="I475" s="18">
        <v>1</v>
      </c>
      <c r="J475" s="18">
        <v>1</v>
      </c>
      <c r="K475" s="18" t="s">
        <v>162</v>
      </c>
      <c r="T475" s="3">
        <v>2</v>
      </c>
      <c r="U475" s="3">
        <v>5</v>
      </c>
      <c r="V475" s="3">
        <v>2</v>
      </c>
      <c r="X475" s="2" t="s">
        <v>1032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N475" s="3">
        <v>0</v>
      </c>
      <c r="AO475" s="3">
        <v>5</v>
      </c>
      <c r="AP475" s="3">
        <v>1</v>
      </c>
      <c r="AR475" s="2" t="s">
        <v>1060</v>
      </c>
    </row>
    <row r="476" spans="1:44" ht="12.75" customHeight="1">
      <c r="A476" s="4">
        <f>DATE(75,5,19)</f>
        <v>27533</v>
      </c>
      <c r="B476" s="2" t="s">
        <v>152</v>
      </c>
      <c r="C476" s="2" t="s">
        <v>174</v>
      </c>
      <c r="E476" s="18">
        <v>0</v>
      </c>
      <c r="F476" s="18">
        <v>1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T476" s="3">
        <v>1</v>
      </c>
      <c r="U476" s="3">
        <v>4</v>
      </c>
      <c r="V476" s="3">
        <v>2</v>
      </c>
      <c r="X476" s="2" t="s">
        <v>1058</v>
      </c>
      <c r="Y476" s="18">
        <v>0</v>
      </c>
      <c r="Z476" s="18">
        <v>0</v>
      </c>
      <c r="AA476" s="18">
        <v>0</v>
      </c>
      <c r="AB476" s="18">
        <v>0</v>
      </c>
      <c r="AC476" s="18">
        <v>3</v>
      </c>
      <c r="AD476" s="18">
        <v>1</v>
      </c>
      <c r="AE476" s="18" t="s">
        <v>162</v>
      </c>
      <c r="AN476" s="3">
        <v>4</v>
      </c>
      <c r="AO476" s="3">
        <v>4</v>
      </c>
      <c r="AP476" s="3">
        <v>1</v>
      </c>
      <c r="AR476" s="2" t="s">
        <v>1048</v>
      </c>
    </row>
    <row r="477" spans="1:44" ht="12.75" customHeight="1">
      <c r="A477" s="4">
        <f>DATE(75,5,20)</f>
        <v>27534</v>
      </c>
      <c r="C477" s="2" t="s">
        <v>374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1</v>
      </c>
      <c r="K477" s="18">
        <v>3</v>
      </c>
      <c r="T477" s="3">
        <v>4</v>
      </c>
      <c r="U477" s="3">
        <v>6</v>
      </c>
      <c r="V477" s="3">
        <v>4</v>
      </c>
      <c r="X477" s="2" t="s">
        <v>1061</v>
      </c>
      <c r="Y477" s="18">
        <v>0</v>
      </c>
      <c r="Z477" s="18">
        <v>0</v>
      </c>
      <c r="AA477" s="18">
        <v>2</v>
      </c>
      <c r="AB477" s="18">
        <v>1</v>
      </c>
      <c r="AC477" s="18">
        <v>0</v>
      </c>
      <c r="AD477" s="18">
        <v>0</v>
      </c>
      <c r="AE477" s="18">
        <v>0</v>
      </c>
      <c r="AN477" s="3">
        <v>3</v>
      </c>
      <c r="AO477" s="3">
        <v>7</v>
      </c>
      <c r="AP477" s="3">
        <v>1</v>
      </c>
      <c r="AR477" s="2" t="s">
        <v>1062</v>
      </c>
    </row>
    <row r="478" spans="1:44" ht="12.75" customHeight="1">
      <c r="A478" s="4">
        <f>DATE(75,5,22)</f>
        <v>27536</v>
      </c>
      <c r="C478" s="2" t="s">
        <v>236</v>
      </c>
      <c r="E478" s="18">
        <v>2</v>
      </c>
      <c r="F478" s="18">
        <v>0</v>
      </c>
      <c r="G478" s="18">
        <v>0</v>
      </c>
      <c r="H478" s="18">
        <v>0</v>
      </c>
      <c r="I478" s="18">
        <v>0</v>
      </c>
      <c r="J478" s="18">
        <v>3</v>
      </c>
      <c r="K478" s="18">
        <v>0</v>
      </c>
      <c r="L478" s="18">
        <v>1</v>
      </c>
      <c r="T478" s="3">
        <v>6</v>
      </c>
      <c r="U478" s="3">
        <v>7</v>
      </c>
      <c r="V478" s="3">
        <v>3</v>
      </c>
      <c r="X478" s="2" t="s">
        <v>999</v>
      </c>
      <c r="Y478" s="18">
        <v>1</v>
      </c>
      <c r="Z478" s="18">
        <v>0</v>
      </c>
      <c r="AA478" s="18">
        <v>0</v>
      </c>
      <c r="AB478" s="18">
        <v>0</v>
      </c>
      <c r="AC478" s="18">
        <v>4</v>
      </c>
      <c r="AD478" s="18">
        <v>0</v>
      </c>
      <c r="AE478" s="18">
        <v>0</v>
      </c>
      <c r="AF478" s="18">
        <v>0</v>
      </c>
      <c r="AN478" s="3">
        <v>5</v>
      </c>
      <c r="AO478" s="3">
        <v>7</v>
      </c>
      <c r="AP478" s="3">
        <v>6</v>
      </c>
      <c r="AR478" s="2" t="s">
        <v>1063</v>
      </c>
    </row>
    <row r="479" ht="12.75" customHeight="1">
      <c r="A479" s="4"/>
    </row>
    <row r="480" spans="1:45" ht="12.75" customHeight="1">
      <c r="A480" s="4">
        <f>DATE(76,4,6)</f>
        <v>27856</v>
      </c>
      <c r="C480" s="2" t="s">
        <v>236</v>
      </c>
      <c r="E480" s="18">
        <v>1</v>
      </c>
      <c r="F480" s="18">
        <v>0</v>
      </c>
      <c r="G480" s="18">
        <v>1</v>
      </c>
      <c r="H480" s="18">
        <v>3</v>
      </c>
      <c r="I480" s="18">
        <v>1</v>
      </c>
      <c r="J480" s="18">
        <v>4</v>
      </c>
      <c r="K480" s="18" t="s">
        <v>162</v>
      </c>
      <c r="T480" s="3">
        <v>10</v>
      </c>
      <c r="U480" s="3">
        <v>11</v>
      </c>
      <c r="V480" s="3">
        <v>2</v>
      </c>
      <c r="X480" s="2" t="s">
        <v>1064</v>
      </c>
      <c r="Y480" s="18">
        <v>1</v>
      </c>
      <c r="Z480" s="18">
        <v>1</v>
      </c>
      <c r="AA480" s="18">
        <v>0</v>
      </c>
      <c r="AB480" s="18">
        <v>0</v>
      </c>
      <c r="AC480" s="18">
        <v>0</v>
      </c>
      <c r="AD480" s="18">
        <v>0</v>
      </c>
      <c r="AE480" s="18">
        <v>0</v>
      </c>
      <c r="AN480" s="3">
        <v>2</v>
      </c>
      <c r="AO480" s="3">
        <v>2</v>
      </c>
      <c r="AP480" s="3">
        <v>4</v>
      </c>
      <c r="AR480" s="2" t="s">
        <v>1065</v>
      </c>
      <c r="AS480" s="2" t="s">
        <v>1040</v>
      </c>
    </row>
    <row r="481" spans="1:46" ht="12.75" customHeight="1">
      <c r="A481" s="4">
        <f>DATE(76,4,8)</f>
        <v>27858</v>
      </c>
      <c r="B481" s="2" t="s">
        <v>152</v>
      </c>
      <c r="C481" s="2" t="s">
        <v>378</v>
      </c>
      <c r="E481" s="18">
        <v>2</v>
      </c>
      <c r="F481" s="18">
        <v>0</v>
      </c>
      <c r="G481" s="18">
        <v>1</v>
      </c>
      <c r="H481" s="18">
        <v>0</v>
      </c>
      <c r="I481" s="18">
        <v>0</v>
      </c>
      <c r="J481" s="18">
        <v>1</v>
      </c>
      <c r="K481" s="18">
        <v>0</v>
      </c>
      <c r="L481" s="18">
        <v>0</v>
      </c>
      <c r="T481" s="3">
        <v>4</v>
      </c>
      <c r="U481" s="3">
        <v>3</v>
      </c>
      <c r="V481" s="3">
        <v>5</v>
      </c>
      <c r="X481" s="2" t="s">
        <v>1066</v>
      </c>
      <c r="Y481" s="18">
        <v>0</v>
      </c>
      <c r="Z481" s="18">
        <v>0</v>
      </c>
      <c r="AA481" s="18">
        <v>0</v>
      </c>
      <c r="AB481" s="18">
        <v>0</v>
      </c>
      <c r="AC481" s="18">
        <v>1</v>
      </c>
      <c r="AD481" s="18">
        <v>0</v>
      </c>
      <c r="AE481" s="18">
        <v>3</v>
      </c>
      <c r="AF481" s="18">
        <v>1</v>
      </c>
      <c r="AN481" s="3">
        <v>5</v>
      </c>
      <c r="AO481" s="3">
        <v>6</v>
      </c>
      <c r="AP481" s="3">
        <v>3</v>
      </c>
      <c r="AR481" s="2" t="s">
        <v>1067</v>
      </c>
      <c r="AS481" s="2" t="s">
        <v>176</v>
      </c>
      <c r="AT481" s="2" t="s">
        <v>181</v>
      </c>
    </row>
    <row r="482" spans="1:45" ht="12.75" customHeight="1">
      <c r="A482" s="4">
        <f>DATE(76,4,11)</f>
        <v>27861</v>
      </c>
      <c r="B482" s="2" t="s">
        <v>152</v>
      </c>
      <c r="C482" s="2" t="s">
        <v>385</v>
      </c>
      <c r="E482" s="18">
        <v>1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7</v>
      </c>
      <c r="T482" s="3">
        <v>8</v>
      </c>
      <c r="U482" s="3">
        <v>8</v>
      </c>
      <c r="V482" s="3">
        <v>9</v>
      </c>
      <c r="X482" s="2" t="s">
        <v>1068</v>
      </c>
      <c r="Y482" s="18">
        <v>4</v>
      </c>
      <c r="Z482" s="18">
        <v>0</v>
      </c>
      <c r="AA482" s="18">
        <v>0</v>
      </c>
      <c r="AB482" s="18">
        <v>1</v>
      </c>
      <c r="AC482" s="18">
        <v>0</v>
      </c>
      <c r="AD482" s="18">
        <v>4</v>
      </c>
      <c r="AE482" s="18" t="s">
        <v>162</v>
      </c>
      <c r="AN482" s="3">
        <v>9</v>
      </c>
      <c r="AO482" s="3">
        <v>4</v>
      </c>
      <c r="AP482" s="3">
        <v>2</v>
      </c>
      <c r="AR482" s="2" t="s">
        <v>255</v>
      </c>
      <c r="AS482" s="2" t="s">
        <v>1069</v>
      </c>
    </row>
    <row r="483" spans="1:44" ht="12.75" customHeight="1">
      <c r="A483" s="4">
        <f>DATE(76,4,12)</f>
        <v>27862</v>
      </c>
      <c r="C483" s="2" t="s">
        <v>367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5</v>
      </c>
      <c r="T483" s="3">
        <v>5</v>
      </c>
      <c r="U483" s="3">
        <v>8</v>
      </c>
      <c r="V483" s="3">
        <v>7</v>
      </c>
      <c r="X483" s="2" t="s">
        <v>1070</v>
      </c>
      <c r="Y483" s="18">
        <v>0</v>
      </c>
      <c r="Z483" s="18">
        <v>0</v>
      </c>
      <c r="AA483" s="18">
        <v>0</v>
      </c>
      <c r="AB483" s="18">
        <v>0</v>
      </c>
      <c r="AC483" s="18">
        <v>4</v>
      </c>
      <c r="AD483" s="18">
        <v>0</v>
      </c>
      <c r="AE483" s="18">
        <v>0</v>
      </c>
      <c r="AN483" s="3">
        <v>4</v>
      </c>
      <c r="AO483" s="3">
        <v>4</v>
      </c>
      <c r="AP483" s="3">
        <v>3</v>
      </c>
      <c r="AR483" s="2" t="s">
        <v>1071</v>
      </c>
    </row>
    <row r="484" spans="1:44" ht="12.75" customHeight="1">
      <c r="A484" s="4">
        <f>DATE(76,4,13)</f>
        <v>27863</v>
      </c>
      <c r="C484" s="2" t="s">
        <v>175</v>
      </c>
      <c r="E484" s="18">
        <v>0</v>
      </c>
      <c r="F484" s="18">
        <v>1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T484" s="3">
        <v>1</v>
      </c>
      <c r="U484" s="3">
        <v>6</v>
      </c>
      <c r="V484" s="3">
        <v>1</v>
      </c>
      <c r="X484" s="2" t="s">
        <v>1064</v>
      </c>
      <c r="Y484" s="18">
        <v>0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  <c r="AE484" s="18">
        <v>0</v>
      </c>
      <c r="AN484" s="3">
        <v>0</v>
      </c>
      <c r="AO484" s="3">
        <v>2</v>
      </c>
      <c r="AP484" s="3">
        <v>2</v>
      </c>
      <c r="AR484" s="2" t="s">
        <v>1072</v>
      </c>
    </row>
    <row r="485" spans="1:44" ht="12.75" customHeight="1">
      <c r="A485" s="4">
        <f>DATE(76,4,15)</f>
        <v>27865</v>
      </c>
      <c r="B485" s="2" t="s">
        <v>152</v>
      </c>
      <c r="C485" s="2" t="s">
        <v>379</v>
      </c>
      <c r="E485" s="18">
        <v>0</v>
      </c>
      <c r="F485" s="18">
        <v>1</v>
      </c>
      <c r="G485" s="18">
        <v>1</v>
      </c>
      <c r="H485" s="18">
        <v>5</v>
      </c>
      <c r="I485" s="18">
        <v>0</v>
      </c>
      <c r="J485" s="18">
        <v>2</v>
      </c>
      <c r="K485" s="18">
        <v>0</v>
      </c>
      <c r="T485" s="3">
        <v>9</v>
      </c>
      <c r="U485" s="3">
        <v>9</v>
      </c>
      <c r="V485" s="3">
        <v>5</v>
      </c>
      <c r="X485" s="2" t="s">
        <v>1073</v>
      </c>
      <c r="Y485" s="18">
        <v>2</v>
      </c>
      <c r="Z485" s="18">
        <v>0</v>
      </c>
      <c r="AA485" s="18">
        <v>2</v>
      </c>
      <c r="AB485" s="18">
        <v>1</v>
      </c>
      <c r="AC485" s="18">
        <v>2</v>
      </c>
      <c r="AD485" s="18">
        <v>4</v>
      </c>
      <c r="AE485" s="18" t="s">
        <v>162</v>
      </c>
      <c r="AN485" s="3">
        <v>11</v>
      </c>
      <c r="AO485" s="3">
        <v>7</v>
      </c>
      <c r="AP485" s="3">
        <v>2</v>
      </c>
      <c r="AR485" s="2" t="s">
        <v>1074</v>
      </c>
    </row>
    <row r="486" spans="1:44" ht="12.75" customHeight="1">
      <c r="A486" s="4">
        <f>DATE(76,4,19)</f>
        <v>27869</v>
      </c>
      <c r="B486" s="2" t="s">
        <v>152</v>
      </c>
      <c r="C486" s="2" t="s">
        <v>331</v>
      </c>
      <c r="E486" s="18">
        <v>2</v>
      </c>
      <c r="F486" s="18">
        <v>1</v>
      </c>
      <c r="G486" s="18">
        <v>2</v>
      </c>
      <c r="H486" s="18">
        <v>1</v>
      </c>
      <c r="I486" s="18">
        <v>0</v>
      </c>
      <c r="J486" s="18">
        <v>0</v>
      </c>
      <c r="K486" s="18">
        <v>1</v>
      </c>
      <c r="T486" s="3">
        <v>7</v>
      </c>
      <c r="U486" s="3">
        <v>8</v>
      </c>
      <c r="V486" s="3">
        <v>2</v>
      </c>
      <c r="X486" s="2" t="s">
        <v>1075</v>
      </c>
      <c r="Y486" s="18"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3</v>
      </c>
      <c r="AE486" s="18">
        <v>0</v>
      </c>
      <c r="AN486" s="3">
        <v>3</v>
      </c>
      <c r="AO486" s="3">
        <v>4</v>
      </c>
      <c r="AP486" s="3">
        <v>5</v>
      </c>
      <c r="AR486" s="2" t="s">
        <v>1076</v>
      </c>
    </row>
    <row r="487" spans="1:44" ht="12.75" customHeight="1">
      <c r="A487" s="4">
        <f>DATE(76,4,20)</f>
        <v>27870</v>
      </c>
      <c r="B487" s="2" t="s">
        <v>152</v>
      </c>
      <c r="C487" s="2" t="s">
        <v>382</v>
      </c>
      <c r="E487" s="18">
        <v>0</v>
      </c>
      <c r="F487" s="18">
        <v>1</v>
      </c>
      <c r="G487" s="18">
        <v>3</v>
      </c>
      <c r="H487" s="18">
        <v>0</v>
      </c>
      <c r="I487" s="18">
        <v>1</v>
      </c>
      <c r="J487" s="18">
        <v>0</v>
      </c>
      <c r="K487" s="18">
        <v>0</v>
      </c>
      <c r="T487" s="3">
        <v>5</v>
      </c>
      <c r="U487" s="3">
        <v>13</v>
      </c>
      <c r="V487" s="3">
        <v>1</v>
      </c>
      <c r="X487" s="2" t="s">
        <v>1070</v>
      </c>
      <c r="Y487" s="18">
        <v>0</v>
      </c>
      <c r="Z487" s="18">
        <v>0</v>
      </c>
      <c r="AA487" s="18">
        <v>0</v>
      </c>
      <c r="AB487" s="18">
        <v>0</v>
      </c>
      <c r="AC487" s="18">
        <v>2</v>
      </c>
      <c r="AD487" s="18">
        <v>0</v>
      </c>
      <c r="AE487" s="18">
        <v>1</v>
      </c>
      <c r="AN487" s="3">
        <v>3</v>
      </c>
      <c r="AO487" s="3">
        <v>5</v>
      </c>
      <c r="AP487" s="3">
        <v>2</v>
      </c>
      <c r="AR487" s="2" t="s">
        <v>1077</v>
      </c>
    </row>
    <row r="488" spans="1:44" ht="12.75" customHeight="1">
      <c r="A488" s="4">
        <f>DATE(76,4,22)</f>
        <v>27872</v>
      </c>
      <c r="C488" s="2" t="s">
        <v>174</v>
      </c>
      <c r="E488" s="18">
        <v>2</v>
      </c>
      <c r="F488" s="18">
        <v>3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1</v>
      </c>
      <c r="T488" s="3">
        <v>6</v>
      </c>
      <c r="U488" s="3">
        <v>10</v>
      </c>
      <c r="V488" s="3">
        <v>3</v>
      </c>
      <c r="X488" s="2" t="s">
        <v>1078</v>
      </c>
      <c r="Y488" s="18">
        <v>2</v>
      </c>
      <c r="Z488" s="18">
        <v>0</v>
      </c>
      <c r="AA488" s="18">
        <v>1</v>
      </c>
      <c r="AB488" s="18">
        <v>0</v>
      </c>
      <c r="AC488" s="18">
        <v>2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N488" s="3">
        <v>5</v>
      </c>
      <c r="AO488" s="3">
        <v>8</v>
      </c>
      <c r="AP488" s="3">
        <v>4</v>
      </c>
      <c r="AR488" s="2" t="s">
        <v>1079</v>
      </c>
    </row>
    <row r="489" spans="1:44" ht="12.75" customHeight="1">
      <c r="A489" s="4">
        <f>DATE(76,4,24)</f>
        <v>27874</v>
      </c>
      <c r="B489" s="2" t="s">
        <v>152</v>
      </c>
      <c r="C489" s="2" t="s">
        <v>367</v>
      </c>
      <c r="E489" s="18">
        <v>0</v>
      </c>
      <c r="F489" s="18">
        <v>3</v>
      </c>
      <c r="G489" s="18">
        <v>2</v>
      </c>
      <c r="H489" s="18">
        <v>0</v>
      </c>
      <c r="I489" s="18">
        <v>0</v>
      </c>
      <c r="J489" s="18">
        <v>0</v>
      </c>
      <c r="K489" s="18">
        <v>1</v>
      </c>
      <c r="T489" s="3">
        <v>6</v>
      </c>
      <c r="U489" s="3">
        <v>8</v>
      </c>
      <c r="V489" s="3">
        <v>3</v>
      </c>
      <c r="X489" s="2" t="s">
        <v>1080</v>
      </c>
      <c r="Y489" s="18">
        <v>2</v>
      </c>
      <c r="Z489" s="18">
        <v>0</v>
      </c>
      <c r="AA489" s="18">
        <v>2</v>
      </c>
      <c r="AB489" s="18">
        <v>1</v>
      </c>
      <c r="AC489" s="18">
        <v>2</v>
      </c>
      <c r="AD489" s="18">
        <v>3</v>
      </c>
      <c r="AE489" s="18" t="s">
        <v>162</v>
      </c>
      <c r="AN489" s="3">
        <v>10</v>
      </c>
      <c r="AO489" s="3">
        <v>9</v>
      </c>
      <c r="AP489" s="3">
        <v>3</v>
      </c>
      <c r="AR489" s="2" t="s">
        <v>1081</v>
      </c>
    </row>
    <row r="490" spans="1:44" ht="12.75" customHeight="1">
      <c r="A490" s="4">
        <f>DATE(76,4,27)</f>
        <v>27877</v>
      </c>
      <c r="B490" s="2" t="s">
        <v>152</v>
      </c>
      <c r="C490" s="2" t="s">
        <v>374</v>
      </c>
      <c r="E490" s="18">
        <v>0</v>
      </c>
      <c r="F490" s="18">
        <v>1</v>
      </c>
      <c r="G490" s="18">
        <v>0</v>
      </c>
      <c r="H490" s="18">
        <v>1</v>
      </c>
      <c r="I490" s="18">
        <v>1</v>
      </c>
      <c r="J490" s="18">
        <v>2</v>
      </c>
      <c r="K490" s="18">
        <v>0</v>
      </c>
      <c r="T490" s="3">
        <v>5</v>
      </c>
      <c r="U490" s="3">
        <v>6</v>
      </c>
      <c r="V490" s="3">
        <v>5</v>
      </c>
      <c r="X490" s="2" t="s">
        <v>1082</v>
      </c>
      <c r="Y490" s="18">
        <v>3</v>
      </c>
      <c r="Z490" s="18">
        <v>5</v>
      </c>
      <c r="AA490" s="18">
        <v>0</v>
      </c>
      <c r="AB490" s="18">
        <v>1</v>
      </c>
      <c r="AC490" s="18">
        <v>0</v>
      </c>
      <c r="AD490" s="18">
        <v>1</v>
      </c>
      <c r="AE490" s="18" t="s">
        <v>162</v>
      </c>
      <c r="AN490" s="3">
        <v>10</v>
      </c>
      <c r="AO490" s="3">
        <v>8</v>
      </c>
      <c r="AP490" s="3">
        <v>3</v>
      </c>
      <c r="AR490" s="2" t="s">
        <v>1083</v>
      </c>
    </row>
    <row r="491" spans="1:44" ht="12.75" customHeight="1">
      <c r="A491" s="4">
        <f>DATE(76,4,29)</f>
        <v>27879</v>
      </c>
      <c r="B491" s="2" t="s">
        <v>152</v>
      </c>
      <c r="C491" s="2" t="s">
        <v>236</v>
      </c>
      <c r="E491" s="18">
        <v>1</v>
      </c>
      <c r="F491" s="18">
        <v>0</v>
      </c>
      <c r="G491" s="18">
        <v>0</v>
      </c>
      <c r="H491" s="18">
        <v>0</v>
      </c>
      <c r="I491" s="18">
        <v>1</v>
      </c>
      <c r="J491" s="18">
        <v>0</v>
      </c>
      <c r="K491" s="18">
        <v>0</v>
      </c>
      <c r="L491" s="18">
        <v>0</v>
      </c>
      <c r="T491" s="3">
        <v>2</v>
      </c>
      <c r="U491" s="3">
        <v>6</v>
      </c>
      <c r="V491" s="3">
        <v>2</v>
      </c>
      <c r="X491" s="2" t="s">
        <v>1084</v>
      </c>
      <c r="Y491" s="18">
        <v>1</v>
      </c>
      <c r="Z491" s="18">
        <v>0</v>
      </c>
      <c r="AA491" s="18">
        <v>0</v>
      </c>
      <c r="AB491" s="18">
        <v>1</v>
      </c>
      <c r="AC491" s="18">
        <v>0</v>
      </c>
      <c r="AD491" s="18">
        <v>0</v>
      </c>
      <c r="AE491" s="18">
        <v>0</v>
      </c>
      <c r="AF491" s="18">
        <v>1</v>
      </c>
      <c r="AN491" s="3">
        <v>3</v>
      </c>
      <c r="AO491" s="3">
        <v>7</v>
      </c>
      <c r="AP491" s="3">
        <v>1</v>
      </c>
      <c r="AR491" s="2" t="s">
        <v>1085</v>
      </c>
    </row>
    <row r="492" spans="1:44" ht="12.75" customHeight="1">
      <c r="A492" s="4">
        <f>DATE(76,5,4)</f>
        <v>27884</v>
      </c>
      <c r="C492" s="2" t="s">
        <v>378</v>
      </c>
      <c r="E492" s="18">
        <v>1</v>
      </c>
      <c r="F492" s="18">
        <v>0</v>
      </c>
      <c r="G492" s="18">
        <v>0</v>
      </c>
      <c r="H492" s="18">
        <v>0</v>
      </c>
      <c r="I492" s="18">
        <v>6</v>
      </c>
      <c r="J492" s="18">
        <v>0</v>
      </c>
      <c r="K492" s="18" t="s">
        <v>162</v>
      </c>
      <c r="T492" s="3">
        <v>7</v>
      </c>
      <c r="U492" s="3">
        <v>9</v>
      </c>
      <c r="V492" s="3">
        <v>2</v>
      </c>
      <c r="X492" s="2" t="s">
        <v>1086</v>
      </c>
      <c r="Y492" s="18">
        <v>0</v>
      </c>
      <c r="Z492" s="18">
        <v>0</v>
      </c>
      <c r="AA492" s="18">
        <v>0</v>
      </c>
      <c r="AB492" s="18">
        <v>0</v>
      </c>
      <c r="AC492" s="18">
        <v>0</v>
      </c>
      <c r="AD492" s="18">
        <v>2</v>
      </c>
      <c r="AE492" s="18">
        <v>0</v>
      </c>
      <c r="AN492" s="3">
        <v>2</v>
      </c>
      <c r="AO492" s="3">
        <v>5</v>
      </c>
      <c r="AP492" s="3">
        <v>3</v>
      </c>
      <c r="AR492" s="2" t="s">
        <v>1087</v>
      </c>
    </row>
    <row r="493" spans="1:44" ht="12.75" customHeight="1">
      <c r="A493" s="4">
        <f>DATE(76,5,6)</f>
        <v>27886</v>
      </c>
      <c r="B493" s="2" t="s">
        <v>152</v>
      </c>
      <c r="C493" s="2" t="s">
        <v>175</v>
      </c>
      <c r="E493" s="18">
        <v>0</v>
      </c>
      <c r="F493" s="18">
        <v>0</v>
      </c>
      <c r="G493" s="18">
        <v>0</v>
      </c>
      <c r="H493" s="18">
        <v>0</v>
      </c>
      <c r="I493" s="18">
        <v>1</v>
      </c>
      <c r="J493" s="18">
        <v>0</v>
      </c>
      <c r="K493" s="18">
        <v>0</v>
      </c>
      <c r="L493" s="18">
        <v>3</v>
      </c>
      <c r="T493" s="3">
        <v>4</v>
      </c>
      <c r="U493" s="3">
        <v>7</v>
      </c>
      <c r="V493" s="3">
        <v>6</v>
      </c>
      <c r="X493" s="2" t="s">
        <v>1088</v>
      </c>
      <c r="Y493" s="18">
        <v>0</v>
      </c>
      <c r="Z493" s="18">
        <v>0</v>
      </c>
      <c r="AA493" s="18">
        <v>0</v>
      </c>
      <c r="AB493" s="18">
        <v>0</v>
      </c>
      <c r="AC493" s="18">
        <v>1</v>
      </c>
      <c r="AD493" s="18">
        <v>0</v>
      </c>
      <c r="AE493" s="18">
        <v>0</v>
      </c>
      <c r="AF493" s="18">
        <v>1</v>
      </c>
      <c r="AN493" s="3">
        <v>2</v>
      </c>
      <c r="AO493" s="3">
        <v>4</v>
      </c>
      <c r="AP493" s="3">
        <v>2</v>
      </c>
      <c r="AR493" s="2" t="s">
        <v>1089</v>
      </c>
    </row>
    <row r="494" spans="1:44" ht="12.75" customHeight="1">
      <c r="A494" s="4">
        <f>DATE(76,5,7)</f>
        <v>27887</v>
      </c>
      <c r="C494" s="2" t="s">
        <v>331</v>
      </c>
      <c r="E494" s="18">
        <v>0</v>
      </c>
      <c r="F494" s="18">
        <v>0</v>
      </c>
      <c r="G494" s="18">
        <v>0</v>
      </c>
      <c r="H494" s="18">
        <v>5</v>
      </c>
      <c r="I494" s="18">
        <v>0</v>
      </c>
      <c r="J494" s="18">
        <v>0</v>
      </c>
      <c r="K494" s="18" t="s">
        <v>162</v>
      </c>
      <c r="T494" s="3">
        <v>5</v>
      </c>
      <c r="U494" s="3">
        <v>6</v>
      </c>
      <c r="V494" s="3">
        <v>3</v>
      </c>
      <c r="X494" s="2" t="s">
        <v>1090</v>
      </c>
      <c r="Y494" s="18">
        <v>0</v>
      </c>
      <c r="Z494" s="18">
        <v>0</v>
      </c>
      <c r="AA494" s="18">
        <v>0</v>
      </c>
      <c r="AB494" s="18">
        <v>0</v>
      </c>
      <c r="AC494" s="18">
        <v>1</v>
      </c>
      <c r="AD494" s="18">
        <v>0</v>
      </c>
      <c r="AE494" s="18">
        <v>1</v>
      </c>
      <c r="AN494" s="3">
        <v>2</v>
      </c>
      <c r="AO494" s="3">
        <v>2</v>
      </c>
      <c r="AP494" s="3">
        <v>3</v>
      </c>
      <c r="AR494" s="2" t="s">
        <v>1091</v>
      </c>
    </row>
    <row r="495" spans="1:44" ht="12.75" customHeight="1">
      <c r="A495" s="4">
        <f>DATE(76,5,12)</f>
        <v>27892</v>
      </c>
      <c r="C495" s="2" t="s">
        <v>379</v>
      </c>
      <c r="E495" s="18">
        <v>1</v>
      </c>
      <c r="F495" s="18">
        <v>0</v>
      </c>
      <c r="G495" s="18">
        <v>4</v>
      </c>
      <c r="H495" s="18">
        <v>2</v>
      </c>
      <c r="I495" s="18">
        <v>1</v>
      </c>
      <c r="J495" s="18">
        <v>5</v>
      </c>
      <c r="K495" s="18" t="s">
        <v>162</v>
      </c>
      <c r="T495" s="3">
        <v>13</v>
      </c>
      <c r="U495" s="3">
        <v>11</v>
      </c>
      <c r="V495" s="3">
        <v>1</v>
      </c>
      <c r="X495" s="2" t="s">
        <v>1064</v>
      </c>
      <c r="Y495" s="18">
        <v>0</v>
      </c>
      <c r="Z495" s="18">
        <v>0</v>
      </c>
      <c r="AA495" s="18">
        <v>0</v>
      </c>
      <c r="AB495" s="18">
        <v>1</v>
      </c>
      <c r="AC495" s="18">
        <v>0</v>
      </c>
      <c r="AD495" s="18">
        <v>1</v>
      </c>
      <c r="AE495" s="18">
        <v>0</v>
      </c>
      <c r="AN495" s="3">
        <v>2</v>
      </c>
      <c r="AO495" s="3">
        <v>3</v>
      </c>
      <c r="AP495" s="3">
        <v>5</v>
      </c>
      <c r="AR495" s="2" t="s">
        <v>256</v>
      </c>
    </row>
    <row r="496" spans="1:44" ht="12.75" customHeight="1">
      <c r="A496" s="4">
        <f>DATE(76,5,13)</f>
        <v>27893</v>
      </c>
      <c r="C496" s="2" t="s">
        <v>382</v>
      </c>
      <c r="E496" s="18">
        <v>0</v>
      </c>
      <c r="F496" s="18">
        <v>0</v>
      </c>
      <c r="G496" s="18">
        <v>0</v>
      </c>
      <c r="H496" s="18">
        <v>0</v>
      </c>
      <c r="I496" s="18">
        <v>1</v>
      </c>
      <c r="J496" s="18">
        <v>0</v>
      </c>
      <c r="K496" s="18">
        <v>0</v>
      </c>
      <c r="L496" s="18">
        <v>1</v>
      </c>
      <c r="M496" s="18">
        <v>1</v>
      </c>
      <c r="T496" s="3">
        <v>3</v>
      </c>
      <c r="U496" s="3">
        <v>7</v>
      </c>
      <c r="V496" s="3">
        <v>0</v>
      </c>
      <c r="X496" s="2" t="s">
        <v>1092</v>
      </c>
      <c r="Y496" s="18">
        <v>0</v>
      </c>
      <c r="Z496" s="18">
        <v>1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1</v>
      </c>
      <c r="AG496" s="18">
        <v>0</v>
      </c>
      <c r="AN496" s="3">
        <v>2</v>
      </c>
      <c r="AO496" s="3">
        <v>7</v>
      </c>
      <c r="AP496" s="3">
        <v>4</v>
      </c>
      <c r="AR496" s="2" t="s">
        <v>1094</v>
      </c>
    </row>
    <row r="497" spans="1:44" ht="12.75" customHeight="1">
      <c r="A497" s="4">
        <f>DATE(76,5,20)</f>
        <v>27900</v>
      </c>
      <c r="C497" s="2" t="s">
        <v>374</v>
      </c>
      <c r="E497" s="18">
        <v>1</v>
      </c>
      <c r="F497" s="18">
        <v>0</v>
      </c>
      <c r="G497" s="18">
        <v>1</v>
      </c>
      <c r="H497" s="18">
        <v>0</v>
      </c>
      <c r="I497" s="18">
        <v>4</v>
      </c>
      <c r="J497" s="18">
        <v>0</v>
      </c>
      <c r="K497" s="18" t="s">
        <v>162</v>
      </c>
      <c r="T497" s="3">
        <v>6</v>
      </c>
      <c r="U497" s="3">
        <v>7</v>
      </c>
      <c r="V497" s="3">
        <v>3</v>
      </c>
      <c r="X497" s="2" t="s">
        <v>1086</v>
      </c>
      <c r="Y497" s="18">
        <v>0</v>
      </c>
      <c r="Z497" s="18">
        <v>0</v>
      </c>
      <c r="AA497" s="18">
        <v>1</v>
      </c>
      <c r="AB497" s="18">
        <v>0</v>
      </c>
      <c r="AC497" s="18">
        <v>0</v>
      </c>
      <c r="AD497" s="18">
        <v>0</v>
      </c>
      <c r="AE497" s="18">
        <v>2</v>
      </c>
      <c r="AN497" s="3">
        <v>3</v>
      </c>
      <c r="AO497" s="3">
        <v>5</v>
      </c>
      <c r="AP497" s="3">
        <v>2</v>
      </c>
      <c r="AR497" s="2" t="s">
        <v>1095</v>
      </c>
    </row>
    <row r="498" spans="1:44" ht="12.75" customHeight="1">
      <c r="A498" s="4">
        <f>DATE(76,5,21)</f>
        <v>27901</v>
      </c>
      <c r="B498" s="2" t="s">
        <v>152</v>
      </c>
      <c r="C498" s="2" t="s">
        <v>174</v>
      </c>
      <c r="E498" s="18">
        <v>0</v>
      </c>
      <c r="F498" s="18">
        <v>0</v>
      </c>
      <c r="G498" s="18">
        <v>0</v>
      </c>
      <c r="H498" s="18">
        <v>2</v>
      </c>
      <c r="I498" s="18">
        <v>1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2</v>
      </c>
      <c r="T498" s="3">
        <v>5</v>
      </c>
      <c r="U498" s="3">
        <v>7</v>
      </c>
      <c r="V498" s="3">
        <v>7</v>
      </c>
      <c r="X498" s="2" t="s">
        <v>1096</v>
      </c>
      <c r="Y498" s="18">
        <v>1</v>
      </c>
      <c r="Z498" s="18">
        <v>0</v>
      </c>
      <c r="AA498" s="18">
        <v>0</v>
      </c>
      <c r="AB498" s="18">
        <v>0</v>
      </c>
      <c r="AC498" s="18">
        <v>1</v>
      </c>
      <c r="AD498" s="18">
        <v>1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N498" s="3">
        <v>3</v>
      </c>
      <c r="AO498" s="3">
        <v>10</v>
      </c>
      <c r="AP498" s="3">
        <v>2</v>
      </c>
      <c r="AR498" s="2" t="s">
        <v>1097</v>
      </c>
    </row>
    <row r="499" spans="1:44" ht="12.75" customHeight="1">
      <c r="A499" s="4">
        <f>DATE(76,5,28)</f>
        <v>27908</v>
      </c>
      <c r="B499" s="2" t="s">
        <v>239</v>
      </c>
      <c r="C499" s="2" t="s">
        <v>174</v>
      </c>
      <c r="D499" s="2" t="s">
        <v>257</v>
      </c>
      <c r="E499" s="18">
        <v>0</v>
      </c>
      <c r="F499" s="18">
        <v>3</v>
      </c>
      <c r="G499" s="18">
        <v>1</v>
      </c>
      <c r="H499" s="18">
        <v>2</v>
      </c>
      <c r="I499" s="18">
        <v>2</v>
      </c>
      <c r="J499" s="18">
        <v>0</v>
      </c>
      <c r="K499" s="18">
        <v>0</v>
      </c>
      <c r="T499" s="3">
        <v>8</v>
      </c>
      <c r="U499" s="3">
        <v>13</v>
      </c>
      <c r="V499" s="3">
        <v>1</v>
      </c>
      <c r="X499" s="2" t="s">
        <v>1064</v>
      </c>
      <c r="Y499" s="18">
        <v>0</v>
      </c>
      <c r="Z499" s="18">
        <v>0</v>
      </c>
      <c r="AA499" s="18">
        <v>0</v>
      </c>
      <c r="AB499" s="18">
        <v>1</v>
      </c>
      <c r="AC499" s="18">
        <v>0</v>
      </c>
      <c r="AD499" s="18">
        <v>0</v>
      </c>
      <c r="AE499" s="18">
        <v>0</v>
      </c>
      <c r="AN499" s="3">
        <v>1</v>
      </c>
      <c r="AO499" s="3">
        <v>6</v>
      </c>
      <c r="AP499" s="3">
        <v>5</v>
      </c>
      <c r="AR499" s="2" t="s">
        <v>1098</v>
      </c>
    </row>
    <row r="500" ht="12.75" customHeight="1">
      <c r="A500" s="4"/>
    </row>
    <row r="501" spans="1:45" ht="12.75" customHeight="1">
      <c r="A501" s="4">
        <f>DATE(77,4,1)</f>
        <v>28216</v>
      </c>
      <c r="C501" s="2" t="s">
        <v>367</v>
      </c>
      <c r="E501" s="18">
        <v>0</v>
      </c>
      <c r="F501" s="18">
        <v>1</v>
      </c>
      <c r="G501" s="18">
        <v>2</v>
      </c>
      <c r="H501" s="18">
        <v>2</v>
      </c>
      <c r="I501" s="18">
        <v>0</v>
      </c>
      <c r="J501" s="18">
        <v>1</v>
      </c>
      <c r="K501" s="18" t="s">
        <v>162</v>
      </c>
      <c r="T501" s="3">
        <v>6</v>
      </c>
      <c r="U501" s="3">
        <v>8</v>
      </c>
      <c r="V501" s="3">
        <v>1</v>
      </c>
      <c r="X501" s="2" t="s">
        <v>1086</v>
      </c>
      <c r="Y501" s="18">
        <v>0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N501" s="3">
        <v>0</v>
      </c>
      <c r="AO501" s="3">
        <v>3</v>
      </c>
      <c r="AP501" s="3">
        <v>4</v>
      </c>
      <c r="AR501" s="2" t="s">
        <v>1099</v>
      </c>
      <c r="AS501" s="2" t="s">
        <v>1040</v>
      </c>
    </row>
    <row r="502" spans="1:46" ht="12.75" customHeight="1">
      <c r="A502" s="4">
        <f>DATE(77,4,12)</f>
        <v>28227</v>
      </c>
      <c r="B502" s="2" t="s">
        <v>152</v>
      </c>
      <c r="C502" s="2" t="s">
        <v>378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T502" s="3">
        <v>0</v>
      </c>
      <c r="U502" s="3">
        <v>6</v>
      </c>
      <c r="V502" s="3">
        <v>2</v>
      </c>
      <c r="X502" s="2" t="s">
        <v>1100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1</v>
      </c>
      <c r="AN502" s="3">
        <v>1</v>
      </c>
      <c r="AO502" s="3">
        <v>3</v>
      </c>
      <c r="AP502" s="3">
        <v>1</v>
      </c>
      <c r="AR502" s="2" t="s">
        <v>1101</v>
      </c>
      <c r="AS502" s="2" t="s">
        <v>166</v>
      </c>
      <c r="AT502" s="2" t="s">
        <v>141</v>
      </c>
    </row>
    <row r="503" spans="1:45" ht="12.75" customHeight="1">
      <c r="A503" s="4">
        <f>DATE(77,4,13)</f>
        <v>28228</v>
      </c>
      <c r="C503" s="2" t="s">
        <v>374</v>
      </c>
      <c r="E503" s="18">
        <v>0</v>
      </c>
      <c r="F503" s="18">
        <v>1</v>
      </c>
      <c r="G503" s="18">
        <v>0</v>
      </c>
      <c r="H503" s="18">
        <v>0</v>
      </c>
      <c r="I503" s="18">
        <v>0</v>
      </c>
      <c r="J503" s="18">
        <v>1</v>
      </c>
      <c r="K503" s="18" t="s">
        <v>162</v>
      </c>
      <c r="T503" s="3">
        <v>2</v>
      </c>
      <c r="U503" s="3">
        <v>3</v>
      </c>
      <c r="V503" s="3">
        <v>1</v>
      </c>
      <c r="X503" s="2" t="s">
        <v>1064</v>
      </c>
      <c r="Y503" s="18">
        <v>0</v>
      </c>
      <c r="Z503" s="18">
        <v>0</v>
      </c>
      <c r="AA503" s="18">
        <v>1</v>
      </c>
      <c r="AB503" s="18">
        <v>0</v>
      </c>
      <c r="AC503" s="18">
        <v>0</v>
      </c>
      <c r="AD503" s="18">
        <v>0</v>
      </c>
      <c r="AE503" s="18">
        <v>0</v>
      </c>
      <c r="AN503" s="3">
        <v>1</v>
      </c>
      <c r="AO503" s="3">
        <v>3</v>
      </c>
      <c r="AP503" s="3">
        <v>3</v>
      </c>
      <c r="AR503" s="2" t="s">
        <v>1095</v>
      </c>
      <c r="AS503" s="2" t="s">
        <v>1102</v>
      </c>
    </row>
    <row r="504" spans="1:44" ht="12.75" customHeight="1">
      <c r="A504" s="4">
        <f>DATE(77,4,14)</f>
        <v>28229</v>
      </c>
      <c r="C504" s="2" t="s">
        <v>175</v>
      </c>
      <c r="E504" s="18">
        <v>0</v>
      </c>
      <c r="F504" s="18">
        <v>0</v>
      </c>
      <c r="G504" s="18">
        <v>0</v>
      </c>
      <c r="H504" s="18">
        <v>1</v>
      </c>
      <c r="I504" s="18">
        <v>0</v>
      </c>
      <c r="J504" s="18">
        <v>0</v>
      </c>
      <c r="K504" s="18">
        <v>0</v>
      </c>
      <c r="T504" s="3">
        <v>1</v>
      </c>
      <c r="U504" s="3">
        <v>5</v>
      </c>
      <c r="V504" s="3">
        <v>4</v>
      </c>
      <c r="X504" s="2" t="s">
        <v>1086</v>
      </c>
      <c r="Y504" s="18">
        <v>0</v>
      </c>
      <c r="Z504" s="18">
        <v>1</v>
      </c>
      <c r="AA504" s="18">
        <v>1</v>
      </c>
      <c r="AB504" s="18">
        <v>1</v>
      </c>
      <c r="AC504" s="18">
        <v>0</v>
      </c>
      <c r="AD504" s="18">
        <v>1</v>
      </c>
      <c r="AE504" s="18">
        <v>0</v>
      </c>
      <c r="AN504" s="3">
        <v>4</v>
      </c>
      <c r="AO504" s="3">
        <v>3</v>
      </c>
      <c r="AP504" s="3">
        <v>0</v>
      </c>
      <c r="AR504" s="2" t="s">
        <v>1103</v>
      </c>
    </row>
    <row r="505" spans="1:44" ht="12.75" customHeight="1">
      <c r="A505" s="4">
        <f>DATE(77,4,15)</f>
        <v>28230</v>
      </c>
      <c r="C505" s="2" t="s">
        <v>331</v>
      </c>
      <c r="E505" s="18">
        <v>1</v>
      </c>
      <c r="F505" s="18">
        <v>0</v>
      </c>
      <c r="G505" s="18">
        <v>1</v>
      </c>
      <c r="H505" s="18">
        <v>0</v>
      </c>
      <c r="I505" s="18">
        <v>0</v>
      </c>
      <c r="J505" s="18">
        <v>0</v>
      </c>
      <c r="K505" s="18">
        <v>0</v>
      </c>
      <c r="L505" s="18">
        <v>1</v>
      </c>
      <c r="T505" s="3">
        <v>3</v>
      </c>
      <c r="U505" s="3">
        <v>7</v>
      </c>
      <c r="V505" s="3">
        <v>2</v>
      </c>
      <c r="X505" s="2" t="s">
        <v>1104</v>
      </c>
      <c r="Y505" s="18">
        <v>0</v>
      </c>
      <c r="Z505" s="18">
        <v>0</v>
      </c>
      <c r="AA505" s="18">
        <v>2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N505" s="3">
        <v>2</v>
      </c>
      <c r="AO505" s="3">
        <v>4</v>
      </c>
      <c r="AP505" s="3">
        <v>3</v>
      </c>
      <c r="AR505" s="2" t="s">
        <v>1105</v>
      </c>
    </row>
    <row r="506" spans="1:44" ht="12.75" customHeight="1">
      <c r="A506" s="4">
        <f>DATE(77,4,19)</f>
        <v>28234</v>
      </c>
      <c r="B506" s="2" t="s">
        <v>152</v>
      </c>
      <c r="C506" s="2" t="s">
        <v>379</v>
      </c>
      <c r="E506" s="18">
        <v>2</v>
      </c>
      <c r="F506" s="18">
        <v>0</v>
      </c>
      <c r="G506" s="18">
        <v>2</v>
      </c>
      <c r="H506" s="18">
        <v>1</v>
      </c>
      <c r="I506" s="18">
        <v>0</v>
      </c>
      <c r="J506" s="18">
        <v>0</v>
      </c>
      <c r="K506" s="18">
        <v>0</v>
      </c>
      <c r="T506" s="3">
        <v>5</v>
      </c>
      <c r="U506" s="3">
        <v>8</v>
      </c>
      <c r="V506" s="3">
        <v>2</v>
      </c>
      <c r="X506" s="2" t="s">
        <v>1064</v>
      </c>
      <c r="Y506" s="18">
        <v>0</v>
      </c>
      <c r="Z506" s="18">
        <v>0</v>
      </c>
      <c r="AA506" s="18">
        <v>0</v>
      </c>
      <c r="AB506" s="18">
        <v>2</v>
      </c>
      <c r="AC506" s="18">
        <v>0</v>
      </c>
      <c r="AD506" s="18">
        <v>0</v>
      </c>
      <c r="AE506" s="18">
        <v>0</v>
      </c>
      <c r="AN506" s="3">
        <v>2</v>
      </c>
      <c r="AO506" s="3">
        <v>8</v>
      </c>
      <c r="AP506" s="3">
        <v>1</v>
      </c>
      <c r="AR506" s="2" t="s">
        <v>1106</v>
      </c>
    </row>
    <row r="507" spans="1:44" ht="12.75" customHeight="1">
      <c r="A507" s="4">
        <f>DATE(77,4,21)</f>
        <v>28236</v>
      </c>
      <c r="B507" s="2" t="s">
        <v>152</v>
      </c>
      <c r="C507" s="2" t="s">
        <v>382</v>
      </c>
      <c r="E507" s="18">
        <v>2</v>
      </c>
      <c r="F507" s="18">
        <v>1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T507" s="3">
        <v>3</v>
      </c>
      <c r="U507" s="3">
        <v>6</v>
      </c>
      <c r="V507" s="3">
        <v>1</v>
      </c>
      <c r="X507" s="2" t="s">
        <v>1086</v>
      </c>
      <c r="Y507" s="18">
        <v>1</v>
      </c>
      <c r="Z507" s="18">
        <v>0</v>
      </c>
      <c r="AA507" s="18">
        <v>1</v>
      </c>
      <c r="AB507" s="18">
        <v>0</v>
      </c>
      <c r="AC507" s="18">
        <v>0</v>
      </c>
      <c r="AD507" s="18">
        <v>0</v>
      </c>
      <c r="AE507" s="18">
        <v>0</v>
      </c>
      <c r="AN507" s="3">
        <v>2</v>
      </c>
      <c r="AO507" s="3">
        <v>5</v>
      </c>
      <c r="AP507" s="3">
        <v>1</v>
      </c>
      <c r="AR507" s="2" t="s">
        <v>1107</v>
      </c>
    </row>
    <row r="508" spans="1:44" ht="12.75" customHeight="1">
      <c r="A508" s="4">
        <f>DATE(77,4,22)</f>
        <v>28237</v>
      </c>
      <c r="C508" s="2" t="s">
        <v>236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T508" s="3">
        <v>0</v>
      </c>
      <c r="U508" s="3">
        <v>4</v>
      </c>
      <c r="V508" s="3">
        <v>5</v>
      </c>
      <c r="X508" s="2" t="s">
        <v>1122</v>
      </c>
      <c r="Y508" s="18">
        <v>7</v>
      </c>
      <c r="Z508" s="18">
        <v>0</v>
      </c>
      <c r="AA508" s="18">
        <v>5</v>
      </c>
      <c r="AB508" s="18">
        <v>0</v>
      </c>
      <c r="AC508" s="18">
        <v>0</v>
      </c>
      <c r="AN508" s="3">
        <v>12</v>
      </c>
      <c r="AO508" s="3">
        <v>9</v>
      </c>
      <c r="AP508" s="3">
        <v>1</v>
      </c>
      <c r="AR508" s="2" t="s">
        <v>1123</v>
      </c>
    </row>
    <row r="509" spans="1:44" ht="12.75" customHeight="1">
      <c r="A509" s="4">
        <f>DATE(77,4,26)</f>
        <v>28241</v>
      </c>
      <c r="C509" s="2" t="s">
        <v>174</v>
      </c>
      <c r="E509" s="18">
        <v>0</v>
      </c>
      <c r="F509" s="18">
        <v>1</v>
      </c>
      <c r="G509" s="18">
        <v>0</v>
      </c>
      <c r="H509" s="18">
        <v>0</v>
      </c>
      <c r="I509" s="18">
        <v>0</v>
      </c>
      <c r="J509" s="18">
        <v>1</v>
      </c>
      <c r="K509" s="18">
        <v>0</v>
      </c>
      <c r="T509" s="3">
        <v>2</v>
      </c>
      <c r="U509" s="3">
        <v>5</v>
      </c>
      <c r="V509" s="3">
        <v>2</v>
      </c>
      <c r="X509" s="2" t="s">
        <v>1064</v>
      </c>
      <c r="Y509" s="18">
        <v>0</v>
      </c>
      <c r="Z509" s="18">
        <v>0</v>
      </c>
      <c r="AA509" s="18">
        <v>0</v>
      </c>
      <c r="AB509" s="18">
        <v>0</v>
      </c>
      <c r="AC509" s="18">
        <v>0</v>
      </c>
      <c r="AD509" s="18">
        <v>5</v>
      </c>
      <c r="AE509" s="18">
        <v>0</v>
      </c>
      <c r="AN509" s="3">
        <v>5</v>
      </c>
      <c r="AO509" s="3">
        <v>9</v>
      </c>
      <c r="AP509" s="3">
        <v>1</v>
      </c>
      <c r="AR509" s="2" t="s">
        <v>1124</v>
      </c>
    </row>
    <row r="510" spans="1:44" ht="12.75" customHeight="1">
      <c r="A510" s="4">
        <f>DATE(77,4,28)</f>
        <v>28243</v>
      </c>
      <c r="B510" s="2" t="s">
        <v>152</v>
      </c>
      <c r="C510" s="2" t="s">
        <v>374</v>
      </c>
      <c r="E510" s="18">
        <v>1</v>
      </c>
      <c r="F510" s="18">
        <v>0</v>
      </c>
      <c r="G510" s="18">
        <v>1</v>
      </c>
      <c r="H510" s="18">
        <v>1</v>
      </c>
      <c r="I510" s="18">
        <v>0</v>
      </c>
      <c r="J510" s="18">
        <v>1</v>
      </c>
      <c r="K510" s="18">
        <v>6</v>
      </c>
      <c r="T510" s="3">
        <v>10</v>
      </c>
      <c r="U510" s="3">
        <v>10</v>
      </c>
      <c r="V510" s="3">
        <v>6</v>
      </c>
      <c r="X510" s="2" t="s">
        <v>1125</v>
      </c>
      <c r="Y510" s="18">
        <v>0</v>
      </c>
      <c r="Z510" s="18">
        <v>0</v>
      </c>
      <c r="AA510" s="18">
        <v>0</v>
      </c>
      <c r="AB510" s="18">
        <v>4</v>
      </c>
      <c r="AC510" s="18">
        <v>0</v>
      </c>
      <c r="AD510" s="18">
        <v>0</v>
      </c>
      <c r="AE510" s="18">
        <v>1</v>
      </c>
      <c r="AN510" s="3">
        <v>5</v>
      </c>
      <c r="AO510" s="3">
        <v>7</v>
      </c>
      <c r="AP510" s="3">
        <v>1</v>
      </c>
      <c r="AR510" s="2" t="s">
        <v>1126</v>
      </c>
    </row>
    <row r="511" spans="1:44" ht="12.75" customHeight="1">
      <c r="A511" s="4">
        <f>DATE(77,5,2)</f>
        <v>28247</v>
      </c>
      <c r="C511" s="2" t="s">
        <v>385</v>
      </c>
      <c r="E511" s="18">
        <v>1</v>
      </c>
      <c r="F511" s="18">
        <v>0</v>
      </c>
      <c r="G511" s="18">
        <v>0</v>
      </c>
      <c r="H511" s="18">
        <v>1</v>
      </c>
      <c r="I511" s="18">
        <v>0</v>
      </c>
      <c r="J511" s="18">
        <v>1</v>
      </c>
      <c r="K511" s="18">
        <v>3</v>
      </c>
      <c r="T511" s="3">
        <v>6</v>
      </c>
      <c r="U511" s="3">
        <v>9</v>
      </c>
      <c r="V511" s="3">
        <v>2</v>
      </c>
      <c r="X511" s="2" t="s">
        <v>1127</v>
      </c>
      <c r="Y511" s="18">
        <v>4</v>
      </c>
      <c r="Z511" s="18">
        <v>0</v>
      </c>
      <c r="AA511" s="18">
        <v>2</v>
      </c>
      <c r="AB511" s="18">
        <v>3</v>
      </c>
      <c r="AC511" s="18">
        <v>0</v>
      </c>
      <c r="AD511" s="18">
        <v>0</v>
      </c>
      <c r="AE511" s="18">
        <v>4</v>
      </c>
      <c r="AN511" s="3">
        <v>13</v>
      </c>
      <c r="AO511" s="3">
        <v>10</v>
      </c>
      <c r="AP511" s="3">
        <v>2</v>
      </c>
      <c r="AR511" s="2" t="s">
        <v>1128</v>
      </c>
    </row>
    <row r="512" spans="1:44" ht="12.75" customHeight="1">
      <c r="A512" s="4">
        <f>DATE(77,5,3)</f>
        <v>28248</v>
      </c>
      <c r="B512" s="2" t="s">
        <v>152</v>
      </c>
      <c r="C512" s="2" t="s">
        <v>236</v>
      </c>
      <c r="E512" s="18">
        <v>2</v>
      </c>
      <c r="F512" s="18">
        <v>1</v>
      </c>
      <c r="G512" s="18">
        <v>3</v>
      </c>
      <c r="H512" s="18">
        <v>1</v>
      </c>
      <c r="I512" s="18">
        <v>0</v>
      </c>
      <c r="J512" s="18">
        <v>0</v>
      </c>
      <c r="K512" s="18">
        <v>0</v>
      </c>
      <c r="T512" s="3">
        <v>7</v>
      </c>
      <c r="U512" s="3">
        <v>9</v>
      </c>
      <c r="V512" s="3">
        <v>3</v>
      </c>
      <c r="X512" s="2" t="s">
        <v>1064</v>
      </c>
      <c r="Y512" s="18">
        <v>0</v>
      </c>
      <c r="Z512" s="18">
        <v>0</v>
      </c>
      <c r="AA512" s="18">
        <v>0</v>
      </c>
      <c r="AB512" s="18">
        <v>0</v>
      </c>
      <c r="AC512" s="18">
        <v>1</v>
      </c>
      <c r="AD512" s="18">
        <v>0</v>
      </c>
      <c r="AE512" s="18">
        <v>0</v>
      </c>
      <c r="AN512" s="3">
        <v>1</v>
      </c>
      <c r="AO512" s="3">
        <v>2</v>
      </c>
      <c r="AP512" s="3">
        <v>4</v>
      </c>
      <c r="AR512" s="2" t="s">
        <v>1129</v>
      </c>
    </row>
    <row r="513" spans="1:44" ht="12.75" customHeight="1">
      <c r="A513" s="4">
        <f>DATE(77,5,6)</f>
        <v>28251</v>
      </c>
      <c r="C513" s="2" t="s">
        <v>183</v>
      </c>
      <c r="E513" s="18">
        <v>4</v>
      </c>
      <c r="F513" s="18">
        <v>0</v>
      </c>
      <c r="G513" s="18">
        <v>0</v>
      </c>
      <c r="H513" s="18">
        <v>3</v>
      </c>
      <c r="I513" s="18">
        <v>0</v>
      </c>
      <c r="J513" s="18">
        <v>0</v>
      </c>
      <c r="K513" s="18" t="s">
        <v>162</v>
      </c>
      <c r="T513" s="3">
        <v>7</v>
      </c>
      <c r="U513" s="3">
        <v>8</v>
      </c>
      <c r="V513" s="3">
        <v>2</v>
      </c>
      <c r="X513" s="2" t="s">
        <v>1086</v>
      </c>
      <c r="Y513" s="18">
        <v>1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N513" s="3">
        <v>1</v>
      </c>
      <c r="AO513" s="3">
        <v>3</v>
      </c>
      <c r="AP513" s="3">
        <v>3</v>
      </c>
      <c r="AR513" s="2" t="s">
        <v>1130</v>
      </c>
    </row>
    <row r="514" spans="1:44" ht="12.75" customHeight="1">
      <c r="A514" s="4">
        <f>DATE(77,5,9)</f>
        <v>28254</v>
      </c>
      <c r="C514" s="2" t="s">
        <v>378</v>
      </c>
      <c r="E514" s="18">
        <v>0</v>
      </c>
      <c r="F514" s="18">
        <v>2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T514" s="3">
        <v>2</v>
      </c>
      <c r="U514" s="3">
        <v>5</v>
      </c>
      <c r="V514" s="3">
        <v>2</v>
      </c>
      <c r="X514" s="2" t="s">
        <v>1070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3</v>
      </c>
      <c r="AE514" s="18">
        <v>0</v>
      </c>
      <c r="AN514" s="3">
        <v>3</v>
      </c>
      <c r="AO514" s="3">
        <v>5</v>
      </c>
      <c r="AP514" s="3">
        <v>4</v>
      </c>
      <c r="AR514" s="2" t="s">
        <v>1131</v>
      </c>
    </row>
    <row r="515" spans="1:44" ht="12.75" customHeight="1">
      <c r="A515" s="4">
        <f>DATE(77,5,10)</f>
        <v>28255</v>
      </c>
      <c r="B515" s="2" t="s">
        <v>152</v>
      </c>
      <c r="C515" s="2" t="s">
        <v>175</v>
      </c>
      <c r="E515" s="18">
        <v>0</v>
      </c>
      <c r="F515" s="18">
        <v>0</v>
      </c>
      <c r="G515" s="18">
        <v>1</v>
      </c>
      <c r="H515" s="18">
        <v>0</v>
      </c>
      <c r="I515" s="18">
        <v>0</v>
      </c>
      <c r="J515" s="18">
        <v>0</v>
      </c>
      <c r="K515" s="18">
        <v>0</v>
      </c>
      <c r="T515" s="3">
        <v>1</v>
      </c>
      <c r="U515" s="3">
        <v>6</v>
      </c>
      <c r="V515" s="3">
        <v>0</v>
      </c>
      <c r="X515" s="2" t="s">
        <v>1082</v>
      </c>
      <c r="Y515" s="18">
        <v>0</v>
      </c>
      <c r="Z515" s="18">
        <v>0</v>
      </c>
      <c r="AA515" s="18">
        <v>0</v>
      </c>
      <c r="AB515" s="18">
        <v>1</v>
      </c>
      <c r="AC515" s="18">
        <v>0</v>
      </c>
      <c r="AD515" s="18">
        <v>1</v>
      </c>
      <c r="AE515" s="18" t="s">
        <v>162</v>
      </c>
      <c r="AN515" s="3">
        <v>2</v>
      </c>
      <c r="AO515" s="3">
        <v>4</v>
      </c>
      <c r="AP515" s="3">
        <v>0</v>
      </c>
      <c r="AR515" s="2" t="s">
        <v>1132</v>
      </c>
    </row>
    <row r="516" spans="1:44" ht="12.75" customHeight="1">
      <c r="A516" s="4">
        <f>DATE(77,5,12)</f>
        <v>28257</v>
      </c>
      <c r="C516" s="2" t="s">
        <v>379</v>
      </c>
      <c r="E516" s="18">
        <v>1</v>
      </c>
      <c r="F516" s="18">
        <v>0</v>
      </c>
      <c r="G516" s="18">
        <v>0</v>
      </c>
      <c r="H516" s="18">
        <v>3</v>
      </c>
      <c r="I516" s="18">
        <v>0</v>
      </c>
      <c r="J516" s="18">
        <v>0</v>
      </c>
      <c r="K516" s="18" t="s">
        <v>162</v>
      </c>
      <c r="T516" s="3">
        <v>4</v>
      </c>
      <c r="U516" s="3">
        <v>5</v>
      </c>
      <c r="V516" s="3">
        <v>2</v>
      </c>
      <c r="X516" s="2" t="s">
        <v>1086</v>
      </c>
      <c r="Y516" s="18">
        <v>0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  <c r="AE516" s="18">
        <v>0</v>
      </c>
      <c r="AN516" s="3">
        <v>0</v>
      </c>
      <c r="AO516" s="3">
        <v>4</v>
      </c>
      <c r="AP516" s="3">
        <v>2</v>
      </c>
      <c r="AR516" s="2" t="s">
        <v>1133</v>
      </c>
    </row>
    <row r="517" spans="1:44" ht="12.75" customHeight="1">
      <c r="A517" s="4">
        <f>DATE(77,5,13)</f>
        <v>28258</v>
      </c>
      <c r="B517" s="2" t="s">
        <v>152</v>
      </c>
      <c r="C517" s="2" t="s">
        <v>331</v>
      </c>
      <c r="E517" s="18">
        <v>0</v>
      </c>
      <c r="F517" s="18">
        <v>0</v>
      </c>
      <c r="G517" s="18">
        <v>1</v>
      </c>
      <c r="H517" s="18">
        <v>1</v>
      </c>
      <c r="I517" s="18">
        <v>1</v>
      </c>
      <c r="J517" s="18">
        <v>0</v>
      </c>
      <c r="K517" s="18">
        <v>0</v>
      </c>
      <c r="T517" s="3">
        <v>3</v>
      </c>
      <c r="U517" s="3">
        <v>8</v>
      </c>
      <c r="V517" s="3">
        <v>1</v>
      </c>
      <c r="X517" s="2" t="s">
        <v>1070</v>
      </c>
      <c r="Y517" s="18">
        <v>1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N517" s="3">
        <v>1</v>
      </c>
      <c r="AO517" s="3">
        <v>3</v>
      </c>
      <c r="AP517" s="3">
        <v>2</v>
      </c>
      <c r="AR517" s="2" t="s">
        <v>1105</v>
      </c>
    </row>
    <row r="518" spans="1:44" ht="12.75" customHeight="1">
      <c r="A518" s="4">
        <f>DATE(77,5,17)</f>
        <v>28262</v>
      </c>
      <c r="C518" s="2" t="s">
        <v>382</v>
      </c>
      <c r="E518" s="18">
        <v>2</v>
      </c>
      <c r="F518" s="18">
        <v>6</v>
      </c>
      <c r="G518" s="18">
        <v>1</v>
      </c>
      <c r="H518" s="18">
        <v>4</v>
      </c>
      <c r="I518" s="18" t="s">
        <v>162</v>
      </c>
      <c r="T518" s="3">
        <v>13</v>
      </c>
      <c r="U518" s="3">
        <v>17</v>
      </c>
      <c r="V518" s="3">
        <v>1</v>
      </c>
      <c r="X518" s="2" t="s">
        <v>1134</v>
      </c>
      <c r="Y518" s="18">
        <v>0</v>
      </c>
      <c r="Z518" s="18">
        <v>0</v>
      </c>
      <c r="AA518" s="18">
        <v>0</v>
      </c>
      <c r="AB518" s="18">
        <v>0</v>
      </c>
      <c r="AC518" s="18">
        <v>0</v>
      </c>
      <c r="AN518" s="3">
        <v>0</v>
      </c>
      <c r="AO518" s="3">
        <v>2</v>
      </c>
      <c r="AP518" s="3">
        <v>4</v>
      </c>
      <c r="AR518" s="2" t="s">
        <v>1135</v>
      </c>
    </row>
    <row r="519" spans="1:44" ht="12.75" customHeight="1">
      <c r="A519" s="4">
        <f>DATE(77,5,19)</f>
        <v>28264</v>
      </c>
      <c r="B519" s="2" t="s">
        <v>152</v>
      </c>
      <c r="C519" s="2" t="s">
        <v>174</v>
      </c>
      <c r="E519" s="18">
        <v>0</v>
      </c>
      <c r="F519" s="18">
        <v>0</v>
      </c>
      <c r="G519" s="18">
        <v>0</v>
      </c>
      <c r="H519" s="18">
        <v>1</v>
      </c>
      <c r="I519" s="18">
        <v>1</v>
      </c>
      <c r="J519" s="18">
        <v>0</v>
      </c>
      <c r="K519" s="18">
        <v>1</v>
      </c>
      <c r="T519" s="3">
        <v>3</v>
      </c>
      <c r="U519" s="3">
        <v>4</v>
      </c>
      <c r="V519" s="3">
        <v>3</v>
      </c>
      <c r="X519" s="2" t="s">
        <v>1127</v>
      </c>
      <c r="Y519" s="18">
        <v>0</v>
      </c>
      <c r="Z519" s="18">
        <v>1</v>
      </c>
      <c r="AA519" s="18">
        <v>3</v>
      </c>
      <c r="AB519" s="18">
        <v>2</v>
      </c>
      <c r="AC519" s="18">
        <v>0</v>
      </c>
      <c r="AD519" s="18">
        <v>0</v>
      </c>
      <c r="AE519" s="18" t="s">
        <v>158</v>
      </c>
      <c r="AN519" s="3">
        <v>6</v>
      </c>
      <c r="AO519" s="3">
        <v>8</v>
      </c>
      <c r="AP519" s="3">
        <v>0</v>
      </c>
      <c r="AR519" s="2" t="s">
        <v>1124</v>
      </c>
    </row>
    <row r="520" spans="1:44" ht="12.75" customHeight="1">
      <c r="A520" s="4">
        <f>DATE(77,5,21)</f>
        <v>28266</v>
      </c>
      <c r="C520" s="2" t="s">
        <v>375</v>
      </c>
      <c r="D520" s="2" t="s">
        <v>258</v>
      </c>
      <c r="E520" s="18">
        <v>2</v>
      </c>
      <c r="F520" s="18">
        <v>2</v>
      </c>
      <c r="G520" s="18">
        <v>8</v>
      </c>
      <c r="H520" s="18">
        <v>0</v>
      </c>
      <c r="I520" s="18" t="s">
        <v>162</v>
      </c>
      <c r="T520" s="3">
        <v>12</v>
      </c>
      <c r="U520" s="3">
        <v>13</v>
      </c>
      <c r="V520" s="3">
        <v>1</v>
      </c>
      <c r="X520" s="2" t="s">
        <v>1136</v>
      </c>
      <c r="Y520" s="18">
        <v>0</v>
      </c>
      <c r="Z520" s="18">
        <v>0</v>
      </c>
      <c r="AA520" s="18">
        <v>0</v>
      </c>
      <c r="AB520" s="18">
        <v>0</v>
      </c>
      <c r="AC520" s="18">
        <v>0</v>
      </c>
      <c r="AN520" s="3">
        <v>0</v>
      </c>
      <c r="AO520" s="3">
        <v>3</v>
      </c>
      <c r="AP520" s="3">
        <v>1</v>
      </c>
      <c r="AR520" s="2" t="s">
        <v>1137</v>
      </c>
    </row>
    <row r="521" spans="1:44" ht="12.75" customHeight="1">
      <c r="A521" s="4">
        <f>DATE(77,5,21)</f>
        <v>28266</v>
      </c>
      <c r="C521" s="2" t="s">
        <v>367</v>
      </c>
      <c r="D521" s="2" t="s">
        <v>258</v>
      </c>
      <c r="E521" s="18">
        <v>0</v>
      </c>
      <c r="F521" s="18">
        <v>2</v>
      </c>
      <c r="G521" s="18">
        <v>1</v>
      </c>
      <c r="H521" s="18">
        <v>0</v>
      </c>
      <c r="I521" s="18">
        <v>2</v>
      </c>
      <c r="J521" s="18">
        <v>2</v>
      </c>
      <c r="K521" s="18">
        <v>0</v>
      </c>
      <c r="T521" s="3">
        <v>7</v>
      </c>
      <c r="U521" s="3">
        <v>7</v>
      </c>
      <c r="V521" s="3">
        <v>4</v>
      </c>
      <c r="X521" s="2" t="s">
        <v>1064</v>
      </c>
      <c r="Y521" s="18">
        <v>0</v>
      </c>
      <c r="Z521" s="18">
        <v>0</v>
      </c>
      <c r="AA521" s="18">
        <v>1</v>
      </c>
      <c r="AB521" s="18">
        <v>0</v>
      </c>
      <c r="AC521" s="18">
        <v>1</v>
      </c>
      <c r="AD521" s="18">
        <v>0</v>
      </c>
      <c r="AE521" s="18">
        <v>0</v>
      </c>
      <c r="AN521" s="3">
        <v>2</v>
      </c>
      <c r="AO521" s="3">
        <v>6</v>
      </c>
      <c r="AP521" s="3">
        <v>2</v>
      </c>
      <c r="AR521" s="2" t="s">
        <v>1138</v>
      </c>
    </row>
    <row r="522" spans="1:44" ht="12.75" customHeight="1">
      <c r="A522" s="4">
        <f>DATE(77,5,27)</f>
        <v>28272</v>
      </c>
      <c r="C522" s="2" t="s">
        <v>183</v>
      </c>
      <c r="D522" s="2" t="s">
        <v>258</v>
      </c>
      <c r="E522" s="18">
        <v>0</v>
      </c>
      <c r="F522" s="18">
        <v>0</v>
      </c>
      <c r="G522" s="18">
        <v>1</v>
      </c>
      <c r="H522" s="18">
        <v>1</v>
      </c>
      <c r="I522" s="18">
        <v>0</v>
      </c>
      <c r="J522" s="18">
        <v>0</v>
      </c>
      <c r="K522" s="18">
        <v>0</v>
      </c>
      <c r="L522" s="18">
        <v>0</v>
      </c>
      <c r="T522" s="3">
        <v>2</v>
      </c>
      <c r="U522" s="3">
        <v>7</v>
      </c>
      <c r="V522" s="3">
        <v>3</v>
      </c>
      <c r="X522" s="2" t="s">
        <v>1088</v>
      </c>
      <c r="Y522" s="18">
        <v>0</v>
      </c>
      <c r="Z522" s="18">
        <v>1</v>
      </c>
      <c r="AA522" s="18">
        <v>0</v>
      </c>
      <c r="AB522" s="18">
        <v>0</v>
      </c>
      <c r="AC522" s="18">
        <v>0</v>
      </c>
      <c r="AD522" s="18">
        <v>1</v>
      </c>
      <c r="AE522" s="18">
        <v>0</v>
      </c>
      <c r="AF522" s="18">
        <v>1</v>
      </c>
      <c r="AN522" s="3">
        <v>3</v>
      </c>
      <c r="AO522" s="3">
        <v>6</v>
      </c>
      <c r="AP522" s="3">
        <v>4</v>
      </c>
      <c r="AR522" s="2" t="s">
        <v>1139</v>
      </c>
    </row>
    <row r="523" spans="1:44" ht="12.75" customHeight="1">
      <c r="A523" s="4">
        <f>DATE(77,5,28)</f>
        <v>28273</v>
      </c>
      <c r="C523" s="2" t="s">
        <v>2212</v>
      </c>
      <c r="D523" s="2" t="s">
        <v>258</v>
      </c>
      <c r="E523" s="18">
        <v>0</v>
      </c>
      <c r="F523" s="18">
        <v>6</v>
      </c>
      <c r="G523" s="18">
        <v>4</v>
      </c>
      <c r="H523" s="18">
        <v>0</v>
      </c>
      <c r="I523" s="18" t="s">
        <v>162</v>
      </c>
      <c r="T523" s="3">
        <v>10</v>
      </c>
      <c r="U523" s="3">
        <v>9</v>
      </c>
      <c r="V523" s="3">
        <v>1</v>
      </c>
      <c r="X523" s="2" t="s">
        <v>1140</v>
      </c>
      <c r="Y523" s="18">
        <v>0</v>
      </c>
      <c r="Z523" s="18">
        <v>0</v>
      </c>
      <c r="AA523" s="18">
        <v>0</v>
      </c>
      <c r="AB523" s="18">
        <v>0</v>
      </c>
      <c r="AC523" s="18">
        <v>0</v>
      </c>
      <c r="AN523" s="3">
        <v>0</v>
      </c>
      <c r="AO523" s="3">
        <v>2</v>
      </c>
      <c r="AP523" s="3">
        <v>1</v>
      </c>
      <c r="AR523" s="2" t="s">
        <v>1141</v>
      </c>
    </row>
    <row r="524" spans="1:44" ht="12.75" customHeight="1">
      <c r="A524" s="4">
        <f>DATE(77,5,28)</f>
        <v>28273</v>
      </c>
      <c r="C524" s="2" t="s">
        <v>183</v>
      </c>
      <c r="D524" s="2" t="s">
        <v>258</v>
      </c>
      <c r="E524" s="18">
        <v>2</v>
      </c>
      <c r="F524" s="18">
        <v>0</v>
      </c>
      <c r="G524" s="18">
        <v>2</v>
      </c>
      <c r="H524" s="18">
        <v>0</v>
      </c>
      <c r="I524" s="18">
        <v>2</v>
      </c>
      <c r="J524" s="18">
        <v>2</v>
      </c>
      <c r="K524" s="18" t="s">
        <v>162</v>
      </c>
      <c r="T524" s="3">
        <v>8</v>
      </c>
      <c r="U524" s="3">
        <v>12</v>
      </c>
      <c r="V524" s="3">
        <v>3</v>
      </c>
      <c r="X524" s="2" t="s">
        <v>1086</v>
      </c>
      <c r="Y524" s="18"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  <c r="AE524" s="18">
        <v>4</v>
      </c>
      <c r="AN524" s="3">
        <v>4</v>
      </c>
      <c r="AO524" s="3">
        <v>4</v>
      </c>
      <c r="AP524" s="3">
        <v>3</v>
      </c>
      <c r="AR524" s="2" t="s">
        <v>1142</v>
      </c>
    </row>
    <row r="525" spans="1:44" ht="12.75" customHeight="1">
      <c r="A525" s="4">
        <f>DATE(77,5,30)</f>
        <v>28275</v>
      </c>
      <c r="C525" s="2" t="s">
        <v>183</v>
      </c>
      <c r="D525" s="2" t="s">
        <v>258</v>
      </c>
      <c r="E525" s="18">
        <v>5</v>
      </c>
      <c r="F525" s="18">
        <v>2</v>
      </c>
      <c r="G525" s="18">
        <v>2</v>
      </c>
      <c r="H525" s="18">
        <v>0</v>
      </c>
      <c r="I525" s="18">
        <v>1</v>
      </c>
      <c r="J525" s="18">
        <v>1</v>
      </c>
      <c r="T525" s="3">
        <v>11</v>
      </c>
      <c r="U525" s="3">
        <v>12</v>
      </c>
      <c r="V525" s="3">
        <v>4</v>
      </c>
      <c r="X525" s="2" t="s">
        <v>1082</v>
      </c>
      <c r="Y525" s="18">
        <v>1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  <c r="AN525" s="3">
        <v>1</v>
      </c>
      <c r="AO525" s="3">
        <v>3</v>
      </c>
      <c r="AP525" s="3">
        <v>2</v>
      </c>
      <c r="AR525" s="2" t="s">
        <v>1143</v>
      </c>
    </row>
    <row r="526" spans="1:44" ht="12.75" customHeight="1">
      <c r="A526" s="4">
        <f>DATE(77,6,10)</f>
        <v>28286</v>
      </c>
      <c r="B526" s="2" t="s">
        <v>239</v>
      </c>
      <c r="C526" s="2" t="s">
        <v>259</v>
      </c>
      <c r="D526" s="2" t="s">
        <v>260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1</v>
      </c>
      <c r="K526" s="18">
        <v>0</v>
      </c>
      <c r="T526" s="3">
        <v>1</v>
      </c>
      <c r="U526" s="3">
        <v>1</v>
      </c>
      <c r="V526" s="3">
        <v>2</v>
      </c>
      <c r="X526" s="2" t="s">
        <v>1064</v>
      </c>
      <c r="Y526" s="18">
        <v>0</v>
      </c>
      <c r="Z526" s="18">
        <v>0</v>
      </c>
      <c r="AA526" s="18">
        <v>0</v>
      </c>
      <c r="AB526" s="18">
        <v>1</v>
      </c>
      <c r="AC526" s="18">
        <v>0</v>
      </c>
      <c r="AD526" s="18">
        <v>0</v>
      </c>
      <c r="AE526" s="18">
        <v>3</v>
      </c>
      <c r="AN526" s="3">
        <v>4</v>
      </c>
      <c r="AO526" s="3">
        <v>7</v>
      </c>
      <c r="AP526" s="3">
        <v>2</v>
      </c>
      <c r="AR526" s="2" t="s">
        <v>1144</v>
      </c>
    </row>
    <row r="527" ht="12.75" customHeight="1">
      <c r="A527" s="4"/>
    </row>
    <row r="528" spans="1:45" ht="12.75" customHeight="1">
      <c r="A528" s="4">
        <f>DATE(78,3,23)</f>
        <v>28572</v>
      </c>
      <c r="B528" s="2" t="s">
        <v>152</v>
      </c>
      <c r="C528" s="2" t="s">
        <v>1145</v>
      </c>
      <c r="E528" s="18">
        <v>2</v>
      </c>
      <c r="F528" s="18">
        <v>0</v>
      </c>
      <c r="G528" s="18">
        <v>1</v>
      </c>
      <c r="H528" s="18">
        <v>2</v>
      </c>
      <c r="I528" s="18">
        <v>1</v>
      </c>
      <c r="J528" s="18">
        <v>0</v>
      </c>
      <c r="K528" s="18">
        <v>0</v>
      </c>
      <c r="T528" s="3">
        <v>6</v>
      </c>
      <c r="U528" s="3">
        <v>10</v>
      </c>
      <c r="V528" s="3">
        <v>8</v>
      </c>
      <c r="X528" s="2" t="s">
        <v>1146</v>
      </c>
      <c r="Y528" s="18">
        <v>2</v>
      </c>
      <c r="Z528" s="18">
        <v>2</v>
      </c>
      <c r="AA528" s="18">
        <v>3</v>
      </c>
      <c r="AB528" s="18">
        <v>0</v>
      </c>
      <c r="AC528" s="18">
        <v>0</v>
      </c>
      <c r="AD528" s="18">
        <v>0</v>
      </c>
      <c r="AE528" s="18" t="s">
        <v>162</v>
      </c>
      <c r="AN528" s="3">
        <v>7</v>
      </c>
      <c r="AO528" s="3">
        <v>5</v>
      </c>
      <c r="AP528" s="3">
        <v>2</v>
      </c>
      <c r="AR528" s="2" t="s">
        <v>261</v>
      </c>
      <c r="AS528" s="2" t="s">
        <v>1040</v>
      </c>
    </row>
    <row r="529" spans="1:46" ht="12.75" customHeight="1">
      <c r="A529" s="4">
        <f>DATE(78,3,23)</f>
        <v>28572</v>
      </c>
      <c r="B529" s="2" t="s">
        <v>152</v>
      </c>
      <c r="C529" s="2" t="s">
        <v>1147</v>
      </c>
      <c r="E529" s="18">
        <v>1</v>
      </c>
      <c r="F529" s="18">
        <v>3</v>
      </c>
      <c r="G529" s="18">
        <v>2</v>
      </c>
      <c r="H529" s="18">
        <v>0</v>
      </c>
      <c r="I529" s="18">
        <v>1</v>
      </c>
      <c r="J529" s="18">
        <v>1</v>
      </c>
      <c r="K529" s="18">
        <v>0</v>
      </c>
      <c r="T529" s="3">
        <v>8</v>
      </c>
      <c r="U529" s="3">
        <v>9</v>
      </c>
      <c r="V529" s="3">
        <v>4</v>
      </c>
      <c r="X529" s="2" t="s">
        <v>1070</v>
      </c>
      <c r="Y529" s="18">
        <v>2</v>
      </c>
      <c r="Z529" s="18">
        <v>0</v>
      </c>
      <c r="AA529" s="18">
        <v>0</v>
      </c>
      <c r="AB529" s="18">
        <v>2</v>
      </c>
      <c r="AC529" s="18">
        <v>3</v>
      </c>
      <c r="AD529" s="18">
        <v>0</v>
      </c>
      <c r="AE529" s="18">
        <v>0</v>
      </c>
      <c r="AN529" s="3">
        <v>7</v>
      </c>
      <c r="AO529" s="3">
        <v>7</v>
      </c>
      <c r="AP529" s="3">
        <v>4</v>
      </c>
      <c r="AR529" s="2" t="s">
        <v>262</v>
      </c>
      <c r="AS529" s="2" t="s">
        <v>263</v>
      </c>
      <c r="AT529" s="2" t="s">
        <v>194</v>
      </c>
    </row>
    <row r="530" spans="1:45" ht="12.75" customHeight="1">
      <c r="A530" s="4">
        <f>DATE(78,3,24)</f>
        <v>28573</v>
      </c>
      <c r="B530" s="2" t="s">
        <v>152</v>
      </c>
      <c r="C530" s="2" t="s">
        <v>1148</v>
      </c>
      <c r="E530" s="18">
        <v>0</v>
      </c>
      <c r="F530" s="18">
        <v>0</v>
      </c>
      <c r="G530" s="18">
        <v>0</v>
      </c>
      <c r="H530" s="18">
        <v>0</v>
      </c>
      <c r="I530" s="18">
        <v>1</v>
      </c>
      <c r="J530" s="18">
        <v>0</v>
      </c>
      <c r="K530" s="18">
        <v>1</v>
      </c>
      <c r="T530" s="3">
        <v>2</v>
      </c>
      <c r="U530" s="3">
        <v>5</v>
      </c>
      <c r="V530" s="3">
        <v>1</v>
      </c>
      <c r="X530" s="2" t="s">
        <v>1149</v>
      </c>
      <c r="Y530" s="18">
        <v>0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  <c r="AE530" s="18">
        <v>0</v>
      </c>
      <c r="AN530" s="3">
        <v>0</v>
      </c>
      <c r="AO530" s="3">
        <v>2</v>
      </c>
      <c r="AP530" s="3">
        <v>1</v>
      </c>
      <c r="AR530" s="2" t="s">
        <v>1150</v>
      </c>
      <c r="AS530" s="2" t="s">
        <v>1151</v>
      </c>
    </row>
    <row r="531" spans="1:44" ht="12.75" customHeight="1">
      <c r="A531" s="4">
        <f>DATE(78,3,24)</f>
        <v>28573</v>
      </c>
      <c r="B531" s="2" t="s">
        <v>152</v>
      </c>
      <c r="C531" s="2" t="s">
        <v>1147</v>
      </c>
      <c r="E531" s="18">
        <v>1</v>
      </c>
      <c r="F531" s="18">
        <v>0</v>
      </c>
      <c r="G531" s="18">
        <v>1</v>
      </c>
      <c r="H531" s="18">
        <v>3</v>
      </c>
      <c r="I531" s="18">
        <v>1</v>
      </c>
      <c r="J531" s="18">
        <v>2</v>
      </c>
      <c r="K531" s="18">
        <v>0</v>
      </c>
      <c r="L531" s="18">
        <v>2</v>
      </c>
      <c r="T531" s="3">
        <v>10</v>
      </c>
      <c r="U531" s="3">
        <v>7</v>
      </c>
      <c r="V531" s="3">
        <v>4</v>
      </c>
      <c r="X531" s="2" t="s">
        <v>1152</v>
      </c>
      <c r="Y531" s="18">
        <v>3</v>
      </c>
      <c r="Z531" s="18">
        <v>0</v>
      </c>
      <c r="AA531" s="18">
        <v>0</v>
      </c>
      <c r="AB531" s="18">
        <v>0</v>
      </c>
      <c r="AC531" s="18">
        <v>4</v>
      </c>
      <c r="AD531" s="18">
        <v>1</v>
      </c>
      <c r="AE531" s="18">
        <v>0</v>
      </c>
      <c r="AF531" s="18">
        <v>0</v>
      </c>
      <c r="AN531" s="3">
        <v>8</v>
      </c>
      <c r="AO531" s="3">
        <v>3</v>
      </c>
      <c r="AP531" s="3">
        <v>8</v>
      </c>
      <c r="AR531" s="2" t="s">
        <v>264</v>
      </c>
    </row>
    <row r="532" spans="1:44" ht="12.75" customHeight="1">
      <c r="A532" s="4">
        <f>DATE(78,3,25)</f>
        <v>28574</v>
      </c>
      <c r="B532" s="2" t="s">
        <v>152</v>
      </c>
      <c r="C532" s="2" t="s">
        <v>1153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T532" s="3">
        <v>0</v>
      </c>
      <c r="U532" s="3">
        <v>6</v>
      </c>
      <c r="V532" s="3">
        <v>1</v>
      </c>
      <c r="X532" s="2" t="s">
        <v>1154</v>
      </c>
      <c r="Y532" s="18">
        <v>0</v>
      </c>
      <c r="Z532" s="18">
        <v>0</v>
      </c>
      <c r="AA532" s="18">
        <v>0</v>
      </c>
      <c r="AB532" s="18">
        <v>3</v>
      </c>
      <c r="AC532" s="18">
        <v>0</v>
      </c>
      <c r="AD532" s="18">
        <v>1</v>
      </c>
      <c r="AE532" s="18" t="s">
        <v>162</v>
      </c>
      <c r="AN532" s="3">
        <v>4</v>
      </c>
      <c r="AO532" s="3">
        <v>5</v>
      </c>
      <c r="AP532" s="3">
        <v>2</v>
      </c>
      <c r="AR532" s="2" t="s">
        <v>1155</v>
      </c>
    </row>
    <row r="533" spans="1:44" ht="12.75" customHeight="1">
      <c r="A533" s="4">
        <f>DATE(78,3,30)</f>
        <v>28579</v>
      </c>
      <c r="C533" s="2" t="s">
        <v>367</v>
      </c>
      <c r="E533" s="18">
        <v>0</v>
      </c>
      <c r="F533" s="18">
        <v>2</v>
      </c>
      <c r="G533" s="18">
        <v>1</v>
      </c>
      <c r="H533" s="18">
        <v>0</v>
      </c>
      <c r="I533" s="18">
        <v>2</v>
      </c>
      <c r="J533" s="18">
        <v>1</v>
      </c>
      <c r="K533" s="18" t="s">
        <v>162</v>
      </c>
      <c r="T533" s="3">
        <v>6</v>
      </c>
      <c r="U533" s="3">
        <v>4</v>
      </c>
      <c r="V533" s="3">
        <v>4</v>
      </c>
      <c r="X533" s="2" t="s">
        <v>1070</v>
      </c>
      <c r="Y533" s="18">
        <v>0</v>
      </c>
      <c r="Z533" s="18">
        <v>0</v>
      </c>
      <c r="AA533" s="18">
        <v>0</v>
      </c>
      <c r="AB533" s="18">
        <v>0</v>
      </c>
      <c r="AC533" s="18">
        <v>0</v>
      </c>
      <c r="AD533" s="18">
        <v>3</v>
      </c>
      <c r="AE533" s="18">
        <v>0</v>
      </c>
      <c r="AN533" s="3">
        <v>3</v>
      </c>
      <c r="AO533" s="3">
        <v>4</v>
      </c>
      <c r="AP533" s="3">
        <v>3</v>
      </c>
      <c r="AR533" s="2" t="s">
        <v>1156</v>
      </c>
    </row>
    <row r="534" spans="1:44" ht="12.75" customHeight="1">
      <c r="A534" s="4">
        <f>DATE(78,4,1)</f>
        <v>28581</v>
      </c>
      <c r="B534" s="2" t="s">
        <v>152</v>
      </c>
      <c r="C534" s="2" t="s">
        <v>385</v>
      </c>
      <c r="E534" s="18">
        <v>3</v>
      </c>
      <c r="F534" s="18">
        <v>0</v>
      </c>
      <c r="G534" s="18">
        <v>6</v>
      </c>
      <c r="H534" s="18">
        <v>0</v>
      </c>
      <c r="I534" s="18">
        <v>5</v>
      </c>
      <c r="T534" s="3">
        <v>14</v>
      </c>
      <c r="U534" s="3">
        <v>9</v>
      </c>
      <c r="V534" s="3">
        <v>1</v>
      </c>
      <c r="X534" s="2" t="s">
        <v>1157</v>
      </c>
      <c r="Y534" s="18">
        <v>0</v>
      </c>
      <c r="Z534" s="18">
        <v>0</v>
      </c>
      <c r="AA534" s="18">
        <v>0</v>
      </c>
      <c r="AB534" s="18">
        <v>0</v>
      </c>
      <c r="AC534" s="18">
        <v>0</v>
      </c>
      <c r="AN534" s="3">
        <v>0</v>
      </c>
      <c r="AO534" s="3">
        <v>0</v>
      </c>
      <c r="AP534" s="3">
        <v>6</v>
      </c>
      <c r="AR534" s="2" t="s">
        <v>265</v>
      </c>
    </row>
    <row r="535" spans="1:44" ht="12.75" customHeight="1">
      <c r="A535" s="4">
        <f>DATE(78,4,1)</f>
        <v>28581</v>
      </c>
      <c r="B535" s="2" t="s">
        <v>152</v>
      </c>
      <c r="C535" s="2" t="s">
        <v>385</v>
      </c>
      <c r="E535" s="18">
        <v>1</v>
      </c>
      <c r="F535" s="18">
        <v>0</v>
      </c>
      <c r="G535" s="18">
        <v>0</v>
      </c>
      <c r="H535" s="18">
        <v>0</v>
      </c>
      <c r="I535" s="18">
        <v>2</v>
      </c>
      <c r="J535" s="18">
        <v>1</v>
      </c>
      <c r="K535" s="18">
        <v>6</v>
      </c>
      <c r="T535" s="3">
        <v>10</v>
      </c>
      <c r="U535" s="3">
        <v>11</v>
      </c>
      <c r="V535" s="3">
        <v>3</v>
      </c>
      <c r="X535" s="2" t="s">
        <v>1158</v>
      </c>
      <c r="Y535" s="18">
        <v>0</v>
      </c>
      <c r="Z535" s="18">
        <v>0</v>
      </c>
      <c r="AA535" s="18">
        <v>0</v>
      </c>
      <c r="AB535" s="18">
        <v>0</v>
      </c>
      <c r="AC535" s="18">
        <v>1</v>
      </c>
      <c r="AD535" s="18">
        <v>0</v>
      </c>
      <c r="AE535" s="18">
        <v>0</v>
      </c>
      <c r="AN535" s="3">
        <v>1</v>
      </c>
      <c r="AO535" s="3">
        <v>4</v>
      </c>
      <c r="AP535" s="3">
        <v>1</v>
      </c>
      <c r="AR535" s="2" t="s">
        <v>266</v>
      </c>
    </row>
    <row r="536" spans="1:44" ht="12.75" customHeight="1">
      <c r="A536" s="4">
        <f>DATE(78,4,5)</f>
        <v>28585</v>
      </c>
      <c r="B536" s="2" t="s">
        <v>152</v>
      </c>
      <c r="C536" s="2" t="s">
        <v>174</v>
      </c>
      <c r="E536" s="18">
        <v>0</v>
      </c>
      <c r="F536" s="18">
        <v>0</v>
      </c>
      <c r="G536" s="18">
        <v>5</v>
      </c>
      <c r="H536" s="18">
        <v>0</v>
      </c>
      <c r="I536" s="18">
        <v>2</v>
      </c>
      <c r="J536" s="18">
        <v>0</v>
      </c>
      <c r="K536" s="18">
        <v>0</v>
      </c>
      <c r="T536" s="3">
        <v>7</v>
      </c>
      <c r="U536" s="3">
        <v>5</v>
      </c>
      <c r="V536" s="3">
        <v>1</v>
      </c>
      <c r="X536" s="2" t="s">
        <v>1070</v>
      </c>
      <c r="Y536" s="18">
        <v>0</v>
      </c>
      <c r="Z536" s="18">
        <v>0</v>
      </c>
      <c r="AA536" s="18">
        <v>0</v>
      </c>
      <c r="AB536" s="18">
        <v>2</v>
      </c>
      <c r="AC536" s="18">
        <v>0</v>
      </c>
      <c r="AD536" s="18">
        <v>1</v>
      </c>
      <c r="AE536" s="18">
        <v>0</v>
      </c>
      <c r="AN536" s="3">
        <v>3</v>
      </c>
      <c r="AO536" s="3">
        <v>3</v>
      </c>
      <c r="AP536" s="3">
        <v>1</v>
      </c>
      <c r="AR536" s="2" t="s">
        <v>1159</v>
      </c>
    </row>
    <row r="537" spans="1:44" ht="12.75" customHeight="1">
      <c r="A537" s="4">
        <f>DATE(78,4,8)</f>
        <v>28588</v>
      </c>
      <c r="B537" s="2" t="s">
        <v>152</v>
      </c>
      <c r="C537" s="2" t="s">
        <v>183</v>
      </c>
      <c r="E537" s="18">
        <v>0</v>
      </c>
      <c r="F537" s="18">
        <v>2</v>
      </c>
      <c r="G537" s="18">
        <v>2</v>
      </c>
      <c r="H537" s="18">
        <v>1</v>
      </c>
      <c r="I537" s="18">
        <v>1</v>
      </c>
      <c r="J537" s="18">
        <v>0</v>
      </c>
      <c r="K537" s="18">
        <v>1</v>
      </c>
      <c r="T537" s="3">
        <v>7</v>
      </c>
      <c r="U537" s="3">
        <v>9</v>
      </c>
      <c r="V537" s="3">
        <v>3</v>
      </c>
      <c r="X537" s="2" t="s">
        <v>1157</v>
      </c>
      <c r="Y537" s="18">
        <v>2</v>
      </c>
      <c r="Z537" s="18">
        <v>1</v>
      </c>
      <c r="AA537" s="18">
        <v>1</v>
      </c>
      <c r="AB537" s="18">
        <v>0</v>
      </c>
      <c r="AC537" s="18">
        <v>0</v>
      </c>
      <c r="AD537" s="18">
        <v>0</v>
      </c>
      <c r="AE537" s="18">
        <v>0</v>
      </c>
      <c r="AN537" s="3">
        <v>4</v>
      </c>
      <c r="AO537" s="3">
        <v>6</v>
      </c>
      <c r="AP537" s="3">
        <v>1</v>
      </c>
      <c r="AR537" s="2" t="s">
        <v>1160</v>
      </c>
    </row>
    <row r="538" spans="1:44" ht="12.75" customHeight="1">
      <c r="A538" s="4">
        <f>DATE(78,4,12)</f>
        <v>28592</v>
      </c>
      <c r="C538" s="2" t="s">
        <v>374</v>
      </c>
      <c r="D538" s="2" t="s">
        <v>267</v>
      </c>
      <c r="E538" s="18">
        <v>5</v>
      </c>
      <c r="F538" s="18">
        <v>4</v>
      </c>
      <c r="G538" s="18">
        <v>3</v>
      </c>
      <c r="H538" s="18">
        <v>2</v>
      </c>
      <c r="I538" s="18">
        <v>0</v>
      </c>
      <c r="J538" s="18">
        <v>2</v>
      </c>
      <c r="K538" s="18" t="s">
        <v>162</v>
      </c>
      <c r="T538" s="3">
        <v>16</v>
      </c>
      <c r="U538" s="3">
        <v>15</v>
      </c>
      <c r="V538" s="3">
        <v>1</v>
      </c>
      <c r="X538" s="2" t="s">
        <v>1161</v>
      </c>
      <c r="Y538" s="18">
        <v>0</v>
      </c>
      <c r="Z538" s="18">
        <v>0</v>
      </c>
      <c r="AA538" s="18">
        <v>3</v>
      </c>
      <c r="AB538" s="18">
        <v>1</v>
      </c>
      <c r="AC538" s="18">
        <v>4</v>
      </c>
      <c r="AD538" s="18">
        <v>0</v>
      </c>
      <c r="AE538" s="18">
        <v>0</v>
      </c>
      <c r="AN538" s="3">
        <v>8</v>
      </c>
      <c r="AO538" s="3">
        <v>8</v>
      </c>
      <c r="AP538" s="3">
        <v>1</v>
      </c>
      <c r="AR538" s="2" t="s">
        <v>1162</v>
      </c>
    </row>
    <row r="539" spans="1:44" ht="12.75" customHeight="1">
      <c r="A539" s="4">
        <f>DATE(78,4,13)</f>
        <v>28593</v>
      </c>
      <c r="B539" s="2" t="s">
        <v>152</v>
      </c>
      <c r="C539" s="2" t="s">
        <v>378</v>
      </c>
      <c r="E539" s="18">
        <v>0</v>
      </c>
      <c r="F539" s="18">
        <v>0</v>
      </c>
      <c r="G539" s="18">
        <v>3</v>
      </c>
      <c r="H539" s="18">
        <v>0</v>
      </c>
      <c r="I539" s="18">
        <v>0</v>
      </c>
      <c r="J539" s="18">
        <v>3</v>
      </c>
      <c r="K539" s="18">
        <v>0</v>
      </c>
      <c r="T539" s="3">
        <v>6</v>
      </c>
      <c r="U539" s="3">
        <v>6</v>
      </c>
      <c r="V539" s="3">
        <v>2</v>
      </c>
      <c r="X539" s="2" t="s">
        <v>1149</v>
      </c>
      <c r="Y539" s="18">
        <v>0</v>
      </c>
      <c r="Z539" s="18">
        <v>0</v>
      </c>
      <c r="AA539" s="18">
        <v>1</v>
      </c>
      <c r="AB539" s="18">
        <v>2</v>
      </c>
      <c r="AC539" s="18">
        <v>0</v>
      </c>
      <c r="AD539" s="18">
        <v>0</v>
      </c>
      <c r="AE539" s="18">
        <v>0</v>
      </c>
      <c r="AN539" s="3">
        <v>3</v>
      </c>
      <c r="AO539" s="3">
        <v>6</v>
      </c>
      <c r="AP539" s="3">
        <v>3</v>
      </c>
      <c r="AR539" s="2" t="s">
        <v>1163</v>
      </c>
    </row>
    <row r="540" spans="1:44" ht="12.75" customHeight="1">
      <c r="A540" s="4">
        <f>DATE(78,4,18)</f>
        <v>28598</v>
      </c>
      <c r="C540" s="2" t="s">
        <v>175</v>
      </c>
      <c r="E540" s="18">
        <v>0</v>
      </c>
      <c r="F540" s="18">
        <v>1</v>
      </c>
      <c r="G540" s="18">
        <v>2</v>
      </c>
      <c r="H540" s="18">
        <v>2</v>
      </c>
      <c r="I540" s="18">
        <v>0</v>
      </c>
      <c r="J540" s="18">
        <v>1</v>
      </c>
      <c r="T540" s="3">
        <v>6</v>
      </c>
      <c r="U540" s="3">
        <v>8</v>
      </c>
      <c r="V540" s="3">
        <v>6</v>
      </c>
      <c r="X540" s="2" t="s">
        <v>1164</v>
      </c>
      <c r="Y540" s="18">
        <v>0</v>
      </c>
      <c r="Z540" s="18">
        <v>2</v>
      </c>
      <c r="AA540" s="18">
        <v>0</v>
      </c>
      <c r="AB540" s="18">
        <v>0</v>
      </c>
      <c r="AC540" s="18">
        <v>5</v>
      </c>
      <c r="AD540" s="18">
        <v>0</v>
      </c>
      <c r="AE540" s="18">
        <v>0</v>
      </c>
      <c r="AN540" s="3">
        <v>7</v>
      </c>
      <c r="AO540" s="3">
        <v>6</v>
      </c>
      <c r="AP540" s="3">
        <v>4</v>
      </c>
      <c r="AR540" s="2" t="s">
        <v>1103</v>
      </c>
    </row>
    <row r="541" spans="1:44" ht="12.75" customHeight="1">
      <c r="A541" s="4">
        <f>DATE(78,4,24)</f>
        <v>28604</v>
      </c>
      <c r="C541" s="2" t="s">
        <v>236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T541" s="3">
        <v>0</v>
      </c>
      <c r="U541" s="3">
        <v>4</v>
      </c>
      <c r="V541" s="3">
        <v>5</v>
      </c>
      <c r="X541" s="2" t="s">
        <v>1165</v>
      </c>
      <c r="Y541" s="18">
        <v>0</v>
      </c>
      <c r="Z541" s="18">
        <v>4</v>
      </c>
      <c r="AA541" s="18">
        <v>0</v>
      </c>
      <c r="AB541" s="18">
        <v>0</v>
      </c>
      <c r="AC541" s="18">
        <v>0</v>
      </c>
      <c r="AD541" s="18">
        <v>0</v>
      </c>
      <c r="AE541" s="18">
        <v>0</v>
      </c>
      <c r="AN541" s="3">
        <v>4</v>
      </c>
      <c r="AO541" s="3">
        <v>4</v>
      </c>
      <c r="AP541" s="3">
        <v>1</v>
      </c>
      <c r="AR541" s="2" t="s">
        <v>1166</v>
      </c>
    </row>
    <row r="542" spans="1:44" ht="12.75" customHeight="1">
      <c r="A542" s="4">
        <f>DATE(78,4,25)</f>
        <v>28605</v>
      </c>
      <c r="B542" s="2" t="s">
        <v>152</v>
      </c>
      <c r="C542" s="2" t="s">
        <v>382</v>
      </c>
      <c r="E542" s="18">
        <v>4</v>
      </c>
      <c r="F542" s="18">
        <v>6</v>
      </c>
      <c r="G542" s="18">
        <v>2</v>
      </c>
      <c r="H542" s="18">
        <v>3</v>
      </c>
      <c r="I542" s="18">
        <v>0</v>
      </c>
      <c r="T542" s="3">
        <v>15</v>
      </c>
      <c r="U542" s="3">
        <v>17</v>
      </c>
      <c r="V542" s="3">
        <v>0</v>
      </c>
      <c r="X542" s="2" t="s">
        <v>1157</v>
      </c>
      <c r="Y542" s="18">
        <v>0</v>
      </c>
      <c r="Z542" s="18">
        <v>2</v>
      </c>
      <c r="AA542" s="18">
        <v>0</v>
      </c>
      <c r="AB542" s="18">
        <v>0</v>
      </c>
      <c r="AC542" s="18">
        <v>0</v>
      </c>
      <c r="AN542" s="3">
        <v>2</v>
      </c>
      <c r="AO542" s="3">
        <v>2</v>
      </c>
      <c r="AP542" s="3">
        <v>0</v>
      </c>
      <c r="AR542" s="2" t="s">
        <v>1167</v>
      </c>
    </row>
    <row r="543" spans="1:44" ht="12.75" customHeight="1">
      <c r="A543" s="4">
        <f>DATE(78,4,27)</f>
        <v>28607</v>
      </c>
      <c r="C543" s="2" t="s">
        <v>174</v>
      </c>
      <c r="E543" s="18">
        <v>0</v>
      </c>
      <c r="F543" s="18">
        <v>0</v>
      </c>
      <c r="G543" s="18">
        <v>2</v>
      </c>
      <c r="H543" s="18">
        <v>5</v>
      </c>
      <c r="I543" s="18">
        <v>1</v>
      </c>
      <c r="J543" s="18">
        <v>3</v>
      </c>
      <c r="K543" s="18" t="s">
        <v>162</v>
      </c>
      <c r="T543" s="3">
        <v>11</v>
      </c>
      <c r="U543" s="3">
        <v>12</v>
      </c>
      <c r="V543" s="3">
        <v>2</v>
      </c>
      <c r="X543" s="2" t="s">
        <v>1070</v>
      </c>
      <c r="Y543" s="18">
        <v>2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1</v>
      </c>
      <c r="AN543" s="3">
        <v>3</v>
      </c>
      <c r="AO543" s="3">
        <v>8</v>
      </c>
      <c r="AP543" s="3">
        <v>1</v>
      </c>
      <c r="AR543" s="2" t="s">
        <v>1172</v>
      </c>
    </row>
    <row r="544" spans="1:44" ht="12.75" customHeight="1">
      <c r="A544" s="4">
        <f>DATE(78,5,1)</f>
        <v>28611</v>
      </c>
      <c r="B544" s="2" t="s">
        <v>152</v>
      </c>
      <c r="C544" s="2" t="s">
        <v>379</v>
      </c>
      <c r="E544" s="18">
        <v>0</v>
      </c>
      <c r="F544" s="18">
        <v>1</v>
      </c>
      <c r="G544" s="18">
        <v>0</v>
      </c>
      <c r="H544" s="18">
        <v>6</v>
      </c>
      <c r="I544" s="18">
        <v>0</v>
      </c>
      <c r="J544" s="18">
        <v>0</v>
      </c>
      <c r="K544" s="18">
        <v>1</v>
      </c>
      <c r="L544" s="18">
        <v>3</v>
      </c>
      <c r="T544" s="3">
        <v>11</v>
      </c>
      <c r="U544" s="3">
        <v>8</v>
      </c>
      <c r="V544" s="3">
        <v>3</v>
      </c>
      <c r="X544" s="2" t="s">
        <v>1173</v>
      </c>
      <c r="Y544" s="18">
        <v>0</v>
      </c>
      <c r="Z544" s="18">
        <v>0</v>
      </c>
      <c r="AA544" s="18">
        <v>0</v>
      </c>
      <c r="AB544" s="18">
        <v>3</v>
      </c>
      <c r="AC544" s="18">
        <v>1</v>
      </c>
      <c r="AD544" s="18">
        <v>4</v>
      </c>
      <c r="AE544" s="18">
        <v>0</v>
      </c>
      <c r="AF544" s="18">
        <v>0</v>
      </c>
      <c r="AN544" s="3">
        <v>8</v>
      </c>
      <c r="AO544" s="3">
        <v>7</v>
      </c>
      <c r="AP544" s="3">
        <v>2</v>
      </c>
      <c r="AR544" s="2" t="s">
        <v>1174</v>
      </c>
    </row>
    <row r="545" spans="1:44" ht="12.75" customHeight="1">
      <c r="A545" s="4">
        <f>DATE(78,5,2)</f>
        <v>28612</v>
      </c>
      <c r="B545" s="2" t="s">
        <v>152</v>
      </c>
      <c r="C545" s="2" t="s">
        <v>374</v>
      </c>
      <c r="E545" s="18">
        <v>2</v>
      </c>
      <c r="F545" s="18">
        <v>1</v>
      </c>
      <c r="G545" s="18">
        <v>2</v>
      </c>
      <c r="H545" s="18">
        <v>0</v>
      </c>
      <c r="I545" s="18">
        <v>1</v>
      </c>
      <c r="J545" s="18">
        <v>0</v>
      </c>
      <c r="K545" s="18">
        <v>1</v>
      </c>
      <c r="T545" s="3">
        <v>7</v>
      </c>
      <c r="U545" s="3">
        <v>9</v>
      </c>
      <c r="V545" s="3">
        <v>3</v>
      </c>
      <c r="X545" s="2" t="s">
        <v>1175</v>
      </c>
      <c r="Y545" s="18">
        <v>0</v>
      </c>
      <c r="Z545" s="18">
        <v>0</v>
      </c>
      <c r="AA545" s="18">
        <v>0</v>
      </c>
      <c r="AB545" s="18">
        <v>4</v>
      </c>
      <c r="AC545" s="18">
        <v>0</v>
      </c>
      <c r="AD545" s="18">
        <v>1</v>
      </c>
      <c r="AE545" s="18">
        <v>1</v>
      </c>
      <c r="AN545" s="3">
        <v>6</v>
      </c>
      <c r="AO545" s="3">
        <v>10</v>
      </c>
      <c r="AP545" s="3">
        <v>0</v>
      </c>
      <c r="AR545" s="2" t="s">
        <v>1176</v>
      </c>
    </row>
    <row r="546" spans="1:44" ht="12.75" customHeight="1">
      <c r="A546" s="4">
        <f>DATE(78,5,4)</f>
        <v>28614</v>
      </c>
      <c r="B546" s="2" t="s">
        <v>152</v>
      </c>
      <c r="C546" s="2" t="s">
        <v>236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T546" s="3">
        <v>0</v>
      </c>
      <c r="U546" s="3">
        <v>5</v>
      </c>
      <c r="V546" s="3">
        <v>4</v>
      </c>
      <c r="X546" s="2" t="s">
        <v>1090</v>
      </c>
      <c r="Y546" s="18"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1</v>
      </c>
      <c r="AE546" s="18" t="s">
        <v>162</v>
      </c>
      <c r="AN546" s="3">
        <v>1</v>
      </c>
      <c r="AO546" s="3">
        <v>4</v>
      </c>
      <c r="AP546" s="3">
        <v>1</v>
      </c>
      <c r="AR546" s="2" t="s">
        <v>1166</v>
      </c>
    </row>
    <row r="547" spans="1:44" ht="12.75" customHeight="1">
      <c r="A547" s="4">
        <f>DATE(78,5,10)</f>
        <v>28620</v>
      </c>
      <c r="C547" s="2" t="s">
        <v>378</v>
      </c>
      <c r="E547" s="18">
        <v>0</v>
      </c>
      <c r="F547" s="18">
        <v>2</v>
      </c>
      <c r="G547" s="18">
        <v>0</v>
      </c>
      <c r="H547" s="18">
        <v>1</v>
      </c>
      <c r="I547" s="18">
        <v>2</v>
      </c>
      <c r="J547" s="18">
        <v>0</v>
      </c>
      <c r="K547" s="18">
        <v>1</v>
      </c>
      <c r="L547" s="18">
        <v>1</v>
      </c>
      <c r="T547" s="3">
        <v>7</v>
      </c>
      <c r="U547" s="3">
        <v>10</v>
      </c>
      <c r="V547" s="3">
        <v>5</v>
      </c>
      <c r="X547" s="2" t="s">
        <v>1177</v>
      </c>
      <c r="Y547" s="18">
        <v>0</v>
      </c>
      <c r="Z547" s="18">
        <v>1</v>
      </c>
      <c r="AA547" s="18">
        <v>0</v>
      </c>
      <c r="AB547" s="18">
        <v>0</v>
      </c>
      <c r="AC547" s="18">
        <v>0</v>
      </c>
      <c r="AD547" s="18">
        <v>5</v>
      </c>
      <c r="AE547" s="18">
        <v>0</v>
      </c>
      <c r="AF547" s="18">
        <v>0</v>
      </c>
      <c r="AN547" s="3">
        <v>6</v>
      </c>
      <c r="AO547" s="3">
        <v>5</v>
      </c>
      <c r="AP547" s="3">
        <v>4</v>
      </c>
      <c r="AR547" s="2" t="s">
        <v>1131</v>
      </c>
    </row>
    <row r="548" spans="1:44" ht="12.75" customHeight="1">
      <c r="A548" s="4">
        <f>DATE(78,5,11)</f>
        <v>28621</v>
      </c>
      <c r="B548" s="2" t="s">
        <v>152</v>
      </c>
      <c r="C548" s="2" t="s">
        <v>175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1</v>
      </c>
      <c r="K548" s="18">
        <v>0</v>
      </c>
      <c r="T548" s="3">
        <v>1</v>
      </c>
      <c r="U548" s="3">
        <v>4</v>
      </c>
      <c r="V548" s="3">
        <v>0</v>
      </c>
      <c r="X548" s="2" t="s">
        <v>1070</v>
      </c>
      <c r="Y548" s="18">
        <v>0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  <c r="AE548" s="18">
        <v>0</v>
      </c>
      <c r="AN548" s="3">
        <v>0</v>
      </c>
      <c r="AO548" s="3">
        <v>3</v>
      </c>
      <c r="AP548" s="3">
        <v>1</v>
      </c>
      <c r="AR548" s="2" t="s">
        <v>1103</v>
      </c>
    </row>
    <row r="549" spans="1:44" ht="12.75" customHeight="1">
      <c r="A549" s="4">
        <f>DATE(78,5,18)</f>
        <v>28628</v>
      </c>
      <c r="C549" s="2" t="s">
        <v>382</v>
      </c>
      <c r="E549" s="18">
        <v>0</v>
      </c>
      <c r="F549" s="18">
        <v>0</v>
      </c>
      <c r="G549" s="18">
        <v>0</v>
      </c>
      <c r="H549" s="18">
        <v>1</v>
      </c>
      <c r="I549" s="18">
        <v>4</v>
      </c>
      <c r="J549" s="18">
        <v>2</v>
      </c>
      <c r="K549" s="18" t="s">
        <v>162</v>
      </c>
      <c r="T549" s="3">
        <v>7</v>
      </c>
      <c r="U549" s="3">
        <v>9</v>
      </c>
      <c r="V549" s="3">
        <v>2</v>
      </c>
      <c r="X549" s="2" t="s">
        <v>1178</v>
      </c>
      <c r="Y549" s="18">
        <v>0</v>
      </c>
      <c r="Z549" s="18">
        <v>0</v>
      </c>
      <c r="AA549" s="18">
        <v>0</v>
      </c>
      <c r="AB549" s="18">
        <v>1</v>
      </c>
      <c r="AC549" s="18">
        <v>0</v>
      </c>
      <c r="AD549" s="18">
        <v>0</v>
      </c>
      <c r="AE549" s="18">
        <v>1</v>
      </c>
      <c r="AN549" s="3">
        <v>2</v>
      </c>
      <c r="AO549" s="3">
        <v>4</v>
      </c>
      <c r="AP549" s="3">
        <v>3</v>
      </c>
      <c r="AR549" s="2" t="s">
        <v>1179</v>
      </c>
    </row>
    <row r="550" spans="1:44" ht="12.75" customHeight="1">
      <c r="A550" s="4">
        <f>DATE(78,5,19)</f>
        <v>28629</v>
      </c>
      <c r="C550" s="2" t="s">
        <v>379</v>
      </c>
      <c r="E550" s="18">
        <v>5</v>
      </c>
      <c r="F550" s="18">
        <v>2</v>
      </c>
      <c r="G550" s="18">
        <v>3</v>
      </c>
      <c r="H550" s="18">
        <v>0</v>
      </c>
      <c r="I550" s="18" t="s">
        <v>162</v>
      </c>
      <c r="T550" s="3">
        <v>10</v>
      </c>
      <c r="U550" s="3">
        <v>11</v>
      </c>
      <c r="V550" s="3">
        <v>0</v>
      </c>
      <c r="X550" s="2" t="s">
        <v>1140</v>
      </c>
      <c r="Y550" s="18">
        <v>0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  <c r="AN550" s="3">
        <v>0</v>
      </c>
      <c r="AO550" s="3">
        <v>3</v>
      </c>
      <c r="AP550" s="3">
        <v>4</v>
      </c>
      <c r="AR550" s="2" t="s">
        <v>268</v>
      </c>
    </row>
    <row r="551" spans="1:44" ht="12.75" customHeight="1">
      <c r="A551" s="4">
        <f>DATE(78,5,20)</f>
        <v>28630</v>
      </c>
      <c r="B551" s="2" t="s">
        <v>239</v>
      </c>
      <c r="C551" s="2" t="s">
        <v>269</v>
      </c>
      <c r="D551" s="2" t="s">
        <v>258</v>
      </c>
      <c r="E551" s="18">
        <v>4</v>
      </c>
      <c r="F551" s="18">
        <v>11</v>
      </c>
      <c r="G551" s="18">
        <v>0</v>
      </c>
      <c r="H551" s="18">
        <v>0</v>
      </c>
      <c r="I551" s="18" t="s">
        <v>162</v>
      </c>
      <c r="T551" s="3">
        <v>15</v>
      </c>
      <c r="U551" s="3">
        <v>8</v>
      </c>
      <c r="V551" s="3">
        <v>0</v>
      </c>
      <c r="X551" s="2" t="s">
        <v>1157</v>
      </c>
      <c r="Y551" s="18">
        <v>0</v>
      </c>
      <c r="Z551" s="18">
        <v>0</v>
      </c>
      <c r="AA551" s="18">
        <v>0</v>
      </c>
      <c r="AB551" s="18">
        <v>0</v>
      </c>
      <c r="AC551" s="18">
        <v>0</v>
      </c>
      <c r="AN551" s="3">
        <v>0</v>
      </c>
      <c r="AO551" s="3">
        <v>0</v>
      </c>
      <c r="AP551" s="3">
        <v>2</v>
      </c>
      <c r="AR551" s="2" t="s">
        <v>1180</v>
      </c>
    </row>
    <row r="552" spans="1:44" ht="12.75" customHeight="1">
      <c r="A552" s="4">
        <f>DATE(78,5,23)</f>
        <v>28633</v>
      </c>
      <c r="B552" s="2" t="s">
        <v>239</v>
      </c>
      <c r="C552" s="2" t="s">
        <v>236</v>
      </c>
      <c r="E552" s="18">
        <v>1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T552" s="3">
        <v>1</v>
      </c>
      <c r="U552" s="3">
        <v>4</v>
      </c>
      <c r="V552" s="3">
        <v>1</v>
      </c>
      <c r="X552" s="2" t="s">
        <v>1090</v>
      </c>
      <c r="Y552" s="18">
        <v>3</v>
      </c>
      <c r="Z552" s="18">
        <v>0</v>
      </c>
      <c r="AA552" s="18">
        <v>1</v>
      </c>
      <c r="AB552" s="18">
        <v>0</v>
      </c>
      <c r="AC552" s="18">
        <v>0</v>
      </c>
      <c r="AD552" s="18">
        <v>1</v>
      </c>
      <c r="AE552" s="18" t="s">
        <v>162</v>
      </c>
      <c r="AN552" s="3">
        <v>5</v>
      </c>
      <c r="AO552" s="3">
        <v>4</v>
      </c>
      <c r="AP552" s="3">
        <v>0</v>
      </c>
      <c r="AR552" s="2" t="s">
        <v>1166</v>
      </c>
    </row>
    <row r="553" spans="1:44" ht="12.75" customHeight="1">
      <c r="A553" s="4">
        <f>DATE(78,5,27)</f>
        <v>28637</v>
      </c>
      <c r="B553" s="2" t="s">
        <v>239</v>
      </c>
      <c r="C553" s="2" t="s">
        <v>169</v>
      </c>
      <c r="D553" s="2" t="s">
        <v>258</v>
      </c>
      <c r="E553" s="18">
        <v>0</v>
      </c>
      <c r="F553" s="18">
        <v>0</v>
      </c>
      <c r="G553" s="18">
        <v>3</v>
      </c>
      <c r="H553" s="18">
        <v>0</v>
      </c>
      <c r="I553" s="18">
        <v>0</v>
      </c>
      <c r="J553" s="18">
        <v>0</v>
      </c>
      <c r="K553" s="18">
        <v>3</v>
      </c>
      <c r="T553" s="3">
        <v>6</v>
      </c>
      <c r="U553" s="3">
        <v>8</v>
      </c>
      <c r="V553" s="3">
        <v>1</v>
      </c>
      <c r="X553" s="2" t="s">
        <v>1149</v>
      </c>
      <c r="Y553" s="18">
        <v>0</v>
      </c>
      <c r="Z553" s="18">
        <v>0</v>
      </c>
      <c r="AA553" s="18">
        <v>0</v>
      </c>
      <c r="AB553" s="18">
        <v>1</v>
      </c>
      <c r="AC553" s="18">
        <v>0</v>
      </c>
      <c r="AD553" s="18">
        <v>0</v>
      </c>
      <c r="AE553" s="18">
        <v>0</v>
      </c>
      <c r="AN553" s="3">
        <v>1</v>
      </c>
      <c r="AO553" s="3">
        <v>4</v>
      </c>
      <c r="AP553" s="3">
        <v>1</v>
      </c>
      <c r="AR553" s="2" t="s">
        <v>1181</v>
      </c>
    </row>
    <row r="554" spans="1:44" ht="12.75" customHeight="1">
      <c r="A554" s="4">
        <f>DATE(78,5,27)</f>
        <v>28637</v>
      </c>
      <c r="B554" s="2" t="s">
        <v>239</v>
      </c>
      <c r="C554" s="2" t="s">
        <v>183</v>
      </c>
      <c r="D554" s="2" t="s">
        <v>258</v>
      </c>
      <c r="E554" s="18">
        <v>1</v>
      </c>
      <c r="F554" s="18">
        <v>5</v>
      </c>
      <c r="G554" s="18">
        <v>8</v>
      </c>
      <c r="H554" s="18">
        <v>3</v>
      </c>
      <c r="I554" s="18">
        <v>2</v>
      </c>
      <c r="T554" s="3">
        <v>19</v>
      </c>
      <c r="U554" s="3">
        <v>17</v>
      </c>
      <c r="V554" s="3">
        <v>2</v>
      </c>
      <c r="X554" s="2" t="s">
        <v>1140</v>
      </c>
      <c r="Y554" s="18">
        <v>0</v>
      </c>
      <c r="Z554" s="18">
        <v>0</v>
      </c>
      <c r="AA554" s="18">
        <v>2</v>
      </c>
      <c r="AB554" s="18">
        <v>0</v>
      </c>
      <c r="AC554" s="18">
        <v>0</v>
      </c>
      <c r="AN554" s="3">
        <v>2</v>
      </c>
      <c r="AO554" s="3">
        <v>6</v>
      </c>
      <c r="AP554" s="3">
        <v>2</v>
      </c>
      <c r="AR554" s="2" t="s">
        <v>1182</v>
      </c>
    </row>
    <row r="555" spans="1:44" ht="12.75" customHeight="1">
      <c r="A555" s="4">
        <f>DATE(78,6,10)</f>
        <v>28651</v>
      </c>
      <c r="B555" s="2" t="s">
        <v>152</v>
      </c>
      <c r="C555" s="2" t="s">
        <v>168</v>
      </c>
      <c r="E555" s="18">
        <v>1</v>
      </c>
      <c r="F555" s="18">
        <v>0</v>
      </c>
      <c r="G555" s="18">
        <v>1</v>
      </c>
      <c r="H555" s="18">
        <v>0</v>
      </c>
      <c r="I555" s="18">
        <v>2</v>
      </c>
      <c r="J555" s="18">
        <v>1</v>
      </c>
      <c r="K555" s="18">
        <v>1</v>
      </c>
      <c r="T555" s="3">
        <v>6</v>
      </c>
      <c r="U555" s="3">
        <v>7</v>
      </c>
      <c r="V555" s="3">
        <v>1</v>
      </c>
      <c r="X555" s="2" t="s">
        <v>1070</v>
      </c>
      <c r="Y555" s="18">
        <v>0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  <c r="AE555" s="18">
        <v>2</v>
      </c>
      <c r="AN555" s="3">
        <v>2</v>
      </c>
      <c r="AO555" s="3">
        <v>5</v>
      </c>
      <c r="AP555" s="3">
        <v>2</v>
      </c>
      <c r="AR555" s="2" t="s">
        <v>270</v>
      </c>
    </row>
    <row r="556" spans="1:44" ht="12.75" customHeight="1">
      <c r="A556" s="4">
        <f>DATE(78,6,10)</f>
        <v>28651</v>
      </c>
      <c r="B556" s="2" t="s">
        <v>152</v>
      </c>
      <c r="C556" s="2" t="s">
        <v>168</v>
      </c>
      <c r="E556" s="18">
        <v>1</v>
      </c>
      <c r="F556" s="18">
        <v>4</v>
      </c>
      <c r="G556" s="18">
        <v>3</v>
      </c>
      <c r="H556" s="18">
        <v>5</v>
      </c>
      <c r="I556" s="18">
        <v>1</v>
      </c>
      <c r="J556" s="18">
        <v>0</v>
      </c>
      <c r="T556" s="3">
        <v>14</v>
      </c>
      <c r="U556" s="3">
        <v>13</v>
      </c>
      <c r="V556" s="3">
        <v>3</v>
      </c>
      <c r="X556" s="2" t="s">
        <v>1157</v>
      </c>
      <c r="Y556" s="18"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3</v>
      </c>
      <c r="AN556" s="3">
        <v>3</v>
      </c>
      <c r="AO556" s="3">
        <v>6</v>
      </c>
      <c r="AP556" s="3">
        <v>4</v>
      </c>
      <c r="AR556" s="2" t="s">
        <v>271</v>
      </c>
    </row>
    <row r="557" spans="1:44" ht="12.75" customHeight="1">
      <c r="A557" s="4">
        <f>DATE(78,6,15)</f>
        <v>28656</v>
      </c>
      <c r="B557" s="2" t="s">
        <v>239</v>
      </c>
      <c r="C557" s="2" t="s">
        <v>281</v>
      </c>
      <c r="D557" s="2" t="s">
        <v>260</v>
      </c>
      <c r="E557" s="18">
        <v>2</v>
      </c>
      <c r="F557" s="18">
        <v>1</v>
      </c>
      <c r="G557" s="18">
        <v>0</v>
      </c>
      <c r="H557" s="18">
        <v>1</v>
      </c>
      <c r="I557" s="18">
        <v>0</v>
      </c>
      <c r="J557" s="18">
        <v>0</v>
      </c>
      <c r="K557" s="18">
        <v>0</v>
      </c>
      <c r="T557" s="3">
        <v>4</v>
      </c>
      <c r="U557" s="3">
        <v>8</v>
      </c>
      <c r="V557" s="3">
        <v>1</v>
      </c>
      <c r="X557" s="2" t="s">
        <v>1070</v>
      </c>
      <c r="Y557" s="18">
        <v>1</v>
      </c>
      <c r="Z557" s="18">
        <v>0</v>
      </c>
      <c r="AA557" s="18">
        <v>0</v>
      </c>
      <c r="AB557" s="18">
        <v>1</v>
      </c>
      <c r="AC557" s="18">
        <v>0</v>
      </c>
      <c r="AD557" s="18">
        <v>1</v>
      </c>
      <c r="AE557" s="18">
        <v>0</v>
      </c>
      <c r="AN557" s="3">
        <v>3</v>
      </c>
      <c r="AO557" s="3">
        <v>10</v>
      </c>
      <c r="AP557" s="3">
        <v>3</v>
      </c>
      <c r="AR557" s="2" t="s">
        <v>1183</v>
      </c>
    </row>
    <row r="558" spans="1:44" ht="12.75" customHeight="1">
      <c r="A558" s="4">
        <f>DATE(78,6,16)</f>
        <v>28657</v>
      </c>
      <c r="B558" s="2" t="s">
        <v>239</v>
      </c>
      <c r="C558" s="2" t="s">
        <v>272</v>
      </c>
      <c r="D558" s="2" t="s">
        <v>260</v>
      </c>
      <c r="E558" s="18">
        <v>0</v>
      </c>
      <c r="F558" s="18">
        <v>0</v>
      </c>
      <c r="G558" s="18">
        <v>1</v>
      </c>
      <c r="H558" s="18">
        <v>0</v>
      </c>
      <c r="I558" s="18">
        <v>0</v>
      </c>
      <c r="J558" s="18">
        <v>0</v>
      </c>
      <c r="K558" s="18">
        <v>0</v>
      </c>
      <c r="T558" s="3">
        <v>1</v>
      </c>
      <c r="U558" s="3">
        <v>5</v>
      </c>
      <c r="V558" s="3">
        <v>1</v>
      </c>
      <c r="X558" s="2" t="s">
        <v>1184</v>
      </c>
      <c r="Y558" s="18">
        <v>1</v>
      </c>
      <c r="Z558" s="18">
        <v>0</v>
      </c>
      <c r="AA558" s="18">
        <v>3</v>
      </c>
      <c r="AB558" s="18">
        <v>0</v>
      </c>
      <c r="AC558" s="18">
        <v>0</v>
      </c>
      <c r="AD558" s="18">
        <v>0</v>
      </c>
      <c r="AE558" s="18">
        <v>0</v>
      </c>
      <c r="AN558" s="3">
        <v>4</v>
      </c>
      <c r="AO558" s="3">
        <v>6</v>
      </c>
      <c r="AP558" s="3">
        <v>1</v>
      </c>
      <c r="AR558" s="2" t="s">
        <v>1185</v>
      </c>
    </row>
    <row r="559" ht="12.75" customHeight="1">
      <c r="A559" s="4"/>
    </row>
    <row r="560" spans="1:45" ht="12.75" customHeight="1">
      <c r="A560" s="4">
        <f>DATE(79,3,22)</f>
        <v>28936</v>
      </c>
      <c r="B560" s="2" t="s">
        <v>239</v>
      </c>
      <c r="C560" s="2" t="s">
        <v>273</v>
      </c>
      <c r="E560" s="18">
        <v>1</v>
      </c>
      <c r="F560" s="18">
        <v>0</v>
      </c>
      <c r="G560" s="18">
        <v>0</v>
      </c>
      <c r="H560" s="18">
        <v>0</v>
      </c>
      <c r="I560" s="18">
        <v>2</v>
      </c>
      <c r="J560" s="18">
        <v>0</v>
      </c>
      <c r="K560" s="18" t="s">
        <v>162</v>
      </c>
      <c r="T560" s="3">
        <v>3</v>
      </c>
      <c r="U560" s="3">
        <v>5</v>
      </c>
      <c r="V560" s="3">
        <v>0</v>
      </c>
      <c r="X560" s="2" t="s">
        <v>1070</v>
      </c>
      <c r="Y560" s="18"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1</v>
      </c>
      <c r="AN560" s="3">
        <v>1</v>
      </c>
      <c r="AO560" s="3">
        <v>5</v>
      </c>
      <c r="AP560" s="3">
        <v>1</v>
      </c>
      <c r="AR560" s="2" t="s">
        <v>1186</v>
      </c>
      <c r="AS560" s="2" t="s">
        <v>1040</v>
      </c>
    </row>
    <row r="561" spans="1:46" ht="12.75" customHeight="1">
      <c r="A561" s="4">
        <f>DATE(79,3,22)</f>
        <v>28936</v>
      </c>
      <c r="B561" s="2" t="s">
        <v>152</v>
      </c>
      <c r="C561" s="2" t="s">
        <v>1187</v>
      </c>
      <c r="E561" s="18">
        <v>4</v>
      </c>
      <c r="F561" s="18">
        <v>1</v>
      </c>
      <c r="G561" s="18">
        <v>0</v>
      </c>
      <c r="H561" s="18">
        <v>1</v>
      </c>
      <c r="I561" s="18">
        <v>1</v>
      </c>
      <c r="J561" s="18">
        <v>2</v>
      </c>
      <c r="K561" s="18">
        <v>1</v>
      </c>
      <c r="T561" s="3">
        <v>10</v>
      </c>
      <c r="U561" s="3">
        <v>14</v>
      </c>
      <c r="V561" s="3">
        <v>0</v>
      </c>
      <c r="X561" s="2" t="s">
        <v>1149</v>
      </c>
      <c r="Y561" s="18">
        <v>0</v>
      </c>
      <c r="Z561" s="18">
        <v>0</v>
      </c>
      <c r="AA561" s="18">
        <v>1</v>
      </c>
      <c r="AB561" s="18">
        <v>0</v>
      </c>
      <c r="AC561" s="18">
        <v>0</v>
      </c>
      <c r="AD561" s="18">
        <v>0</v>
      </c>
      <c r="AE561" s="18">
        <v>0</v>
      </c>
      <c r="AN561" s="3">
        <v>1</v>
      </c>
      <c r="AO561" s="3">
        <v>6</v>
      </c>
      <c r="AP561" s="3">
        <v>3</v>
      </c>
      <c r="AR561" s="2" t="s">
        <v>1188</v>
      </c>
      <c r="AS561" s="2" t="s">
        <v>274</v>
      </c>
      <c r="AT561" s="2" t="s">
        <v>194</v>
      </c>
    </row>
    <row r="562" spans="1:45" ht="12.75" customHeight="1">
      <c r="A562" s="4">
        <f>DATE(79,3,23)</f>
        <v>28937</v>
      </c>
      <c r="B562" s="2" t="s">
        <v>152</v>
      </c>
      <c r="C562" s="2" t="s">
        <v>1189</v>
      </c>
      <c r="E562" s="18">
        <v>15</v>
      </c>
      <c r="F562" s="18">
        <v>9</v>
      </c>
      <c r="G562" s="18">
        <v>0</v>
      </c>
      <c r="H562" s="18">
        <v>0</v>
      </c>
      <c r="I562" s="18">
        <v>5</v>
      </c>
      <c r="T562" s="3">
        <v>29</v>
      </c>
      <c r="U562" s="3">
        <v>25</v>
      </c>
      <c r="V562" s="3">
        <v>2</v>
      </c>
      <c r="X562" s="2" t="s">
        <v>1190</v>
      </c>
      <c r="Y562" s="18">
        <v>0</v>
      </c>
      <c r="Z562" s="18">
        <v>0</v>
      </c>
      <c r="AA562" s="18">
        <v>0</v>
      </c>
      <c r="AB562" s="18">
        <v>3</v>
      </c>
      <c r="AC562" s="18">
        <v>2</v>
      </c>
      <c r="AN562" s="3">
        <v>5</v>
      </c>
      <c r="AO562" s="3">
        <v>5</v>
      </c>
      <c r="AP562" s="3">
        <v>5</v>
      </c>
      <c r="AR562" s="2" t="s">
        <v>275</v>
      </c>
      <c r="AS562" s="2" t="s">
        <v>1102</v>
      </c>
    </row>
    <row r="563" spans="1:44" ht="12.75" customHeight="1">
      <c r="A563" s="4">
        <f>DATE(79,4,3)</f>
        <v>28948</v>
      </c>
      <c r="C563" s="2" t="s">
        <v>382</v>
      </c>
      <c r="E563" s="18">
        <v>1</v>
      </c>
      <c r="F563" s="18">
        <v>3</v>
      </c>
      <c r="G563" s="18">
        <v>0</v>
      </c>
      <c r="H563" s="18">
        <v>0</v>
      </c>
      <c r="I563" s="18">
        <v>0</v>
      </c>
      <c r="J563" s="18">
        <v>0</v>
      </c>
      <c r="K563" s="18" t="s">
        <v>162</v>
      </c>
      <c r="T563" s="3">
        <v>4</v>
      </c>
      <c r="U563" s="3">
        <v>7</v>
      </c>
      <c r="V563" s="3">
        <v>2</v>
      </c>
      <c r="X563" s="2" t="s">
        <v>1191</v>
      </c>
      <c r="Y563" s="18">
        <v>2</v>
      </c>
      <c r="Z563" s="18">
        <v>0</v>
      </c>
      <c r="AA563" s="18">
        <v>0</v>
      </c>
      <c r="AB563" s="18">
        <v>0</v>
      </c>
      <c r="AC563" s="18">
        <v>0</v>
      </c>
      <c r="AD563" s="18">
        <v>1</v>
      </c>
      <c r="AE563" s="18">
        <v>0</v>
      </c>
      <c r="AN563" s="3">
        <v>3</v>
      </c>
      <c r="AO563" s="3">
        <v>5</v>
      </c>
      <c r="AP563" s="3">
        <v>3</v>
      </c>
      <c r="AR563" s="2" t="s">
        <v>1192</v>
      </c>
    </row>
    <row r="564" spans="1:44" ht="12.75" customHeight="1">
      <c r="A564" s="4">
        <f>DATE(79,4,7)</f>
        <v>28952</v>
      </c>
      <c r="C564" s="2" t="s">
        <v>183</v>
      </c>
      <c r="E564" s="18">
        <v>0</v>
      </c>
      <c r="F564" s="18">
        <v>0</v>
      </c>
      <c r="G564" s="18">
        <v>0</v>
      </c>
      <c r="H564" s="18">
        <v>3</v>
      </c>
      <c r="I564" s="18">
        <v>0</v>
      </c>
      <c r="J564" s="18">
        <v>0</v>
      </c>
      <c r="K564" s="18">
        <v>6</v>
      </c>
      <c r="T564" s="3">
        <v>9</v>
      </c>
      <c r="U564" s="3">
        <v>8</v>
      </c>
      <c r="V564" s="3">
        <v>5</v>
      </c>
      <c r="X564" s="2" t="s">
        <v>1193</v>
      </c>
      <c r="Y564" s="18">
        <v>4</v>
      </c>
      <c r="Z564" s="18">
        <v>0</v>
      </c>
      <c r="AA564" s="18">
        <v>2</v>
      </c>
      <c r="AB564" s="18">
        <v>0</v>
      </c>
      <c r="AC564" s="18">
        <v>2</v>
      </c>
      <c r="AD564" s="18">
        <v>1</v>
      </c>
      <c r="AE564" s="18">
        <v>2</v>
      </c>
      <c r="AN564" s="3">
        <v>11</v>
      </c>
      <c r="AO564" s="3">
        <v>6</v>
      </c>
      <c r="AP564" s="3">
        <v>4</v>
      </c>
      <c r="AR564" s="2" t="s">
        <v>1194</v>
      </c>
    </row>
    <row r="565" spans="1:44" ht="12.75" customHeight="1">
      <c r="A565" s="4">
        <f>DATE(79,4,10)</f>
        <v>28955</v>
      </c>
      <c r="C565" s="2" t="s">
        <v>374</v>
      </c>
      <c r="E565" s="18">
        <v>1</v>
      </c>
      <c r="F565" s="18">
        <v>3</v>
      </c>
      <c r="G565" s="18">
        <v>1</v>
      </c>
      <c r="H565" s="18">
        <v>0</v>
      </c>
      <c r="I565" s="18">
        <v>4</v>
      </c>
      <c r="J565" s="18">
        <v>2</v>
      </c>
      <c r="K565" s="18" t="s">
        <v>162</v>
      </c>
      <c r="T565" s="3">
        <v>11</v>
      </c>
      <c r="U565" s="3">
        <v>11</v>
      </c>
      <c r="V565" s="3">
        <v>1</v>
      </c>
      <c r="X565" s="2" t="s">
        <v>1195</v>
      </c>
      <c r="Y565" s="18">
        <v>1</v>
      </c>
      <c r="Z565" s="18">
        <v>0</v>
      </c>
      <c r="AA565" s="18">
        <v>0</v>
      </c>
      <c r="AB565" s="18">
        <v>0</v>
      </c>
      <c r="AC565" s="18">
        <v>2</v>
      </c>
      <c r="AD565" s="18">
        <v>0</v>
      </c>
      <c r="AE565" s="18">
        <v>0</v>
      </c>
      <c r="AN565" s="3">
        <v>3</v>
      </c>
      <c r="AO565" s="3">
        <v>5</v>
      </c>
      <c r="AP565" s="3">
        <v>3</v>
      </c>
      <c r="AR565" s="2" t="s">
        <v>1196</v>
      </c>
    </row>
    <row r="566" spans="1:44" ht="12.75" customHeight="1">
      <c r="A566" s="4">
        <f>DATE(79,4,11)</f>
        <v>28956</v>
      </c>
      <c r="C566" s="2" t="s">
        <v>236</v>
      </c>
      <c r="E566" s="18">
        <v>3</v>
      </c>
      <c r="F566" s="18">
        <v>0</v>
      </c>
      <c r="G566" s="18">
        <v>0</v>
      </c>
      <c r="H566" s="18">
        <v>3</v>
      </c>
      <c r="I566" s="18">
        <v>0</v>
      </c>
      <c r="J566" s="18">
        <v>2</v>
      </c>
      <c r="K566" s="18" t="s">
        <v>162</v>
      </c>
      <c r="T566" s="3">
        <v>8</v>
      </c>
      <c r="U566" s="3">
        <v>10</v>
      </c>
      <c r="V566" s="3">
        <v>2</v>
      </c>
      <c r="X566" s="2" t="s">
        <v>1070</v>
      </c>
      <c r="Y566" s="18">
        <v>0</v>
      </c>
      <c r="Z566" s="18">
        <v>1</v>
      </c>
      <c r="AA566" s="18">
        <v>0</v>
      </c>
      <c r="AB566" s="18">
        <v>0</v>
      </c>
      <c r="AC566" s="18">
        <v>0</v>
      </c>
      <c r="AD566" s="18">
        <v>1</v>
      </c>
      <c r="AE566" s="18">
        <v>0</v>
      </c>
      <c r="AN566" s="3">
        <v>2</v>
      </c>
      <c r="AO566" s="3">
        <v>4</v>
      </c>
      <c r="AP566" s="3">
        <v>2</v>
      </c>
      <c r="AR566" s="2" t="s">
        <v>1197</v>
      </c>
    </row>
    <row r="567" spans="1:44" ht="12.75" customHeight="1">
      <c r="A567" s="4">
        <f>DATE(79,4,14)</f>
        <v>28959</v>
      </c>
      <c r="C567" s="2" t="s">
        <v>385</v>
      </c>
      <c r="E567" s="18">
        <v>1</v>
      </c>
      <c r="F567" s="18">
        <v>1</v>
      </c>
      <c r="G567" s="18">
        <v>0</v>
      </c>
      <c r="H567" s="18">
        <v>2</v>
      </c>
      <c r="I567" s="18">
        <v>0</v>
      </c>
      <c r="J567" s="18">
        <v>1</v>
      </c>
      <c r="K567" s="18" t="s">
        <v>162</v>
      </c>
      <c r="T567" s="3">
        <v>5</v>
      </c>
      <c r="U567" s="3">
        <v>6</v>
      </c>
      <c r="V567" s="3">
        <v>2</v>
      </c>
      <c r="X567" s="2" t="s">
        <v>1149</v>
      </c>
      <c r="Y567" s="18">
        <v>0</v>
      </c>
      <c r="Z567" s="18">
        <v>0</v>
      </c>
      <c r="AA567" s="18">
        <v>2</v>
      </c>
      <c r="AB567" s="18">
        <v>0</v>
      </c>
      <c r="AC567" s="18">
        <v>0</v>
      </c>
      <c r="AD567" s="18">
        <v>0</v>
      </c>
      <c r="AE567" s="18">
        <v>2</v>
      </c>
      <c r="AN567" s="3">
        <v>4</v>
      </c>
      <c r="AO567" s="3">
        <v>3</v>
      </c>
      <c r="AP567" s="3">
        <v>2</v>
      </c>
      <c r="AR567" s="2" t="s">
        <v>276</v>
      </c>
    </row>
    <row r="568" spans="1:44" ht="12.75" customHeight="1">
      <c r="A568" s="4">
        <f>DATE(79,4,14)</f>
        <v>28959</v>
      </c>
      <c r="C568" s="2" t="s">
        <v>385</v>
      </c>
      <c r="E568" s="18">
        <v>0</v>
      </c>
      <c r="F568" s="18">
        <v>0</v>
      </c>
      <c r="G568" s="18">
        <v>0</v>
      </c>
      <c r="H568" s="18">
        <v>1</v>
      </c>
      <c r="I568" s="18">
        <v>1</v>
      </c>
      <c r="J568" s="18">
        <v>0</v>
      </c>
      <c r="K568" s="18">
        <v>1</v>
      </c>
      <c r="T568" s="3">
        <v>3</v>
      </c>
      <c r="U568" s="3">
        <v>5</v>
      </c>
      <c r="V568" s="3">
        <v>0</v>
      </c>
      <c r="X568" s="2" t="s">
        <v>1198</v>
      </c>
      <c r="Y568" s="18">
        <v>1</v>
      </c>
      <c r="Z568" s="18">
        <v>0</v>
      </c>
      <c r="AA568" s="18">
        <v>0</v>
      </c>
      <c r="AB568" s="18">
        <v>3</v>
      </c>
      <c r="AC568" s="18">
        <v>0</v>
      </c>
      <c r="AD568" s="18">
        <v>0</v>
      </c>
      <c r="AE568" s="18">
        <v>0</v>
      </c>
      <c r="AN568" s="3">
        <v>4</v>
      </c>
      <c r="AO568" s="3">
        <v>7</v>
      </c>
      <c r="AP568" s="3">
        <v>1</v>
      </c>
      <c r="AR568" s="2" t="s">
        <v>1199</v>
      </c>
    </row>
    <row r="569" spans="1:44" ht="12.75" customHeight="1">
      <c r="A569" s="4">
        <f>DATE(79,4,16)</f>
        <v>28961</v>
      </c>
      <c r="B569" s="2" t="s">
        <v>152</v>
      </c>
      <c r="C569" s="2" t="s">
        <v>174</v>
      </c>
      <c r="E569" s="18">
        <v>0</v>
      </c>
      <c r="F569" s="18">
        <v>2</v>
      </c>
      <c r="G569" s="18">
        <v>0</v>
      </c>
      <c r="H569" s="18">
        <v>0</v>
      </c>
      <c r="I569" s="18">
        <v>0</v>
      </c>
      <c r="J569" s="18">
        <v>1</v>
      </c>
      <c r="K569" s="18">
        <v>0</v>
      </c>
      <c r="T569" s="3">
        <v>3</v>
      </c>
      <c r="U569" s="3">
        <v>6</v>
      </c>
      <c r="V569" s="3">
        <v>2</v>
      </c>
      <c r="X569" s="2" t="s">
        <v>1090</v>
      </c>
      <c r="Y569" s="18">
        <v>0</v>
      </c>
      <c r="Z569" s="18">
        <v>0</v>
      </c>
      <c r="AA569" s="18">
        <v>0</v>
      </c>
      <c r="AB569" s="18">
        <v>0</v>
      </c>
      <c r="AC569" s="18">
        <v>0</v>
      </c>
      <c r="AD569" s="18">
        <v>2</v>
      </c>
      <c r="AE569" s="18">
        <v>2</v>
      </c>
      <c r="AN569" s="3">
        <v>4</v>
      </c>
      <c r="AO569" s="3">
        <v>2</v>
      </c>
      <c r="AP569" s="3">
        <v>2</v>
      </c>
      <c r="AR569" s="2" t="s">
        <v>1200</v>
      </c>
    </row>
    <row r="570" spans="1:44" ht="12.75" customHeight="1">
      <c r="A570" s="4">
        <f>DATE(79,4,17)</f>
        <v>28962</v>
      </c>
      <c r="B570" s="2" t="s">
        <v>152</v>
      </c>
      <c r="C570" s="2" t="s">
        <v>378</v>
      </c>
      <c r="E570" s="18">
        <v>1</v>
      </c>
      <c r="F570" s="18">
        <v>0</v>
      </c>
      <c r="G570" s="18">
        <v>0</v>
      </c>
      <c r="H570" s="18">
        <v>0</v>
      </c>
      <c r="I570" s="18">
        <v>6</v>
      </c>
      <c r="J570" s="18">
        <v>1</v>
      </c>
      <c r="K570" s="18">
        <v>3</v>
      </c>
      <c r="T570" s="3">
        <v>11</v>
      </c>
      <c r="U570" s="3">
        <v>11</v>
      </c>
      <c r="V570" s="3">
        <v>2</v>
      </c>
      <c r="X570" s="2" t="s">
        <v>1178</v>
      </c>
      <c r="Y570" s="18">
        <v>0</v>
      </c>
      <c r="Z570" s="18">
        <v>0</v>
      </c>
      <c r="AA570" s="18">
        <v>0</v>
      </c>
      <c r="AB570" s="18">
        <v>0</v>
      </c>
      <c r="AC570" s="18">
        <v>0</v>
      </c>
      <c r="AD570" s="18">
        <v>1</v>
      </c>
      <c r="AE570" s="18" t="s">
        <v>162</v>
      </c>
      <c r="AN570" s="3">
        <v>1</v>
      </c>
      <c r="AO570" s="3">
        <v>0</v>
      </c>
      <c r="AP570" s="3">
        <v>1</v>
      </c>
      <c r="AR570" s="2" t="s">
        <v>1201</v>
      </c>
    </row>
    <row r="571" spans="1:44" ht="12.75" customHeight="1">
      <c r="A571" s="4">
        <f>DATE(79,4,19)</f>
        <v>28964</v>
      </c>
      <c r="C571" s="2" t="s">
        <v>175</v>
      </c>
      <c r="E571" s="18">
        <v>0</v>
      </c>
      <c r="F571" s="18">
        <v>0</v>
      </c>
      <c r="G571" s="18">
        <v>5</v>
      </c>
      <c r="H571" s="18">
        <v>0</v>
      </c>
      <c r="I571" s="18">
        <v>1</v>
      </c>
      <c r="J571" s="18">
        <v>0</v>
      </c>
      <c r="T571" s="3">
        <v>6</v>
      </c>
      <c r="U571" s="3">
        <v>9</v>
      </c>
      <c r="V571" s="3">
        <v>4</v>
      </c>
      <c r="X571" s="2" t="s">
        <v>1202</v>
      </c>
      <c r="Y571" s="18">
        <v>0</v>
      </c>
      <c r="Z571" s="18">
        <v>0</v>
      </c>
      <c r="AA571" s="18">
        <v>2</v>
      </c>
      <c r="AB571" s="18">
        <v>0</v>
      </c>
      <c r="AC571" s="18">
        <v>1</v>
      </c>
      <c r="AD571" s="18">
        <v>15</v>
      </c>
      <c r="AN571" s="3">
        <v>18</v>
      </c>
      <c r="AO571" s="3">
        <v>7</v>
      </c>
      <c r="AP571" s="3">
        <v>1</v>
      </c>
      <c r="AR571" s="2" t="s">
        <v>1203</v>
      </c>
    </row>
    <row r="572" spans="1:44" ht="12.75" customHeight="1">
      <c r="A572" s="4">
        <f>DATE(79,4,21)</f>
        <v>28966</v>
      </c>
      <c r="B572" s="2" t="s">
        <v>152</v>
      </c>
      <c r="C572" s="2" t="s">
        <v>367</v>
      </c>
      <c r="E572" s="18">
        <v>0</v>
      </c>
      <c r="F572" s="18">
        <v>3</v>
      </c>
      <c r="G572" s="18">
        <v>1</v>
      </c>
      <c r="H572" s="18">
        <v>3</v>
      </c>
      <c r="I572" s="18">
        <v>0</v>
      </c>
      <c r="J572" s="18">
        <v>0</v>
      </c>
      <c r="K572" s="18">
        <v>4</v>
      </c>
      <c r="T572" s="3">
        <v>11</v>
      </c>
      <c r="U572" s="3">
        <v>10</v>
      </c>
      <c r="V572" s="3">
        <v>1</v>
      </c>
      <c r="X572" s="2" t="s">
        <v>1149</v>
      </c>
      <c r="Y572" s="18">
        <v>0</v>
      </c>
      <c r="Z572" s="18">
        <v>0</v>
      </c>
      <c r="AA572" s="18">
        <v>1</v>
      </c>
      <c r="AB572" s="18">
        <v>0</v>
      </c>
      <c r="AC572" s="18">
        <v>0</v>
      </c>
      <c r="AD572" s="18">
        <v>0</v>
      </c>
      <c r="AE572" s="18">
        <v>0</v>
      </c>
      <c r="AN572" s="3">
        <v>1</v>
      </c>
      <c r="AO572" s="3">
        <v>4</v>
      </c>
      <c r="AP572" s="3">
        <v>3</v>
      </c>
      <c r="AR572" s="2" t="s">
        <v>1204</v>
      </c>
    </row>
    <row r="573" spans="1:44" ht="12.75" customHeight="1">
      <c r="A573" s="4">
        <f>DATE(79,4,21)</f>
        <v>28966</v>
      </c>
      <c r="B573" s="2" t="s">
        <v>152</v>
      </c>
      <c r="C573" s="2" t="s">
        <v>367</v>
      </c>
      <c r="E573" s="18">
        <v>0</v>
      </c>
      <c r="F573" s="18">
        <v>0</v>
      </c>
      <c r="G573" s="18">
        <v>11</v>
      </c>
      <c r="H573" s="18">
        <v>0</v>
      </c>
      <c r="I573" s="18">
        <v>1</v>
      </c>
      <c r="J573" s="18">
        <v>2</v>
      </c>
      <c r="K573" s="18">
        <v>0</v>
      </c>
      <c r="T573" s="3">
        <v>14</v>
      </c>
      <c r="U573" s="3">
        <v>12</v>
      </c>
      <c r="V573" s="3">
        <v>3</v>
      </c>
      <c r="X573" s="2" t="s">
        <v>1205</v>
      </c>
      <c r="Y573" s="18">
        <v>0</v>
      </c>
      <c r="Z573" s="18">
        <v>0</v>
      </c>
      <c r="AA573" s="18">
        <v>0</v>
      </c>
      <c r="AB573" s="18">
        <v>2</v>
      </c>
      <c r="AC573" s="18">
        <v>1</v>
      </c>
      <c r="AD573" s="18">
        <v>2</v>
      </c>
      <c r="AE573" s="18">
        <v>0</v>
      </c>
      <c r="AN573" s="3">
        <v>5</v>
      </c>
      <c r="AO573" s="3">
        <v>7</v>
      </c>
      <c r="AP573" s="3">
        <v>1</v>
      </c>
      <c r="AR573" s="2" t="s">
        <v>1206</v>
      </c>
    </row>
    <row r="574" spans="1:44" ht="12.75" customHeight="1">
      <c r="A574" s="4">
        <f>DATE(79,4,24)</f>
        <v>28969</v>
      </c>
      <c r="B574" s="2" t="s">
        <v>152</v>
      </c>
      <c r="C574" s="2" t="s">
        <v>379</v>
      </c>
      <c r="E574" s="18">
        <v>1</v>
      </c>
      <c r="F574" s="18">
        <v>0</v>
      </c>
      <c r="G574" s="18">
        <v>0</v>
      </c>
      <c r="H574" s="18">
        <v>2</v>
      </c>
      <c r="I574" s="18">
        <v>0</v>
      </c>
      <c r="J574" s="18">
        <v>3</v>
      </c>
      <c r="K574" s="18">
        <v>0</v>
      </c>
      <c r="T574" s="3">
        <v>6</v>
      </c>
      <c r="U574" s="3">
        <v>11</v>
      </c>
      <c r="V574" s="3">
        <v>1</v>
      </c>
      <c r="X574" s="2" t="s">
        <v>1070</v>
      </c>
      <c r="Y574" s="18">
        <v>0</v>
      </c>
      <c r="Z574" s="18">
        <v>0</v>
      </c>
      <c r="AA574" s="18">
        <v>0</v>
      </c>
      <c r="AB574" s="18">
        <v>1</v>
      </c>
      <c r="AC574" s="18">
        <v>0</v>
      </c>
      <c r="AD574" s="18">
        <v>1</v>
      </c>
      <c r="AE574" s="18">
        <v>0</v>
      </c>
      <c r="AN574" s="3">
        <v>2</v>
      </c>
      <c r="AO574" s="3">
        <v>4</v>
      </c>
      <c r="AP574" s="3">
        <v>0</v>
      </c>
      <c r="AR574" s="2" t="s">
        <v>1207</v>
      </c>
    </row>
    <row r="575" spans="1:44" ht="12.75" customHeight="1">
      <c r="A575" s="4">
        <f>DATE(79,4,28)</f>
        <v>28973</v>
      </c>
      <c r="C575" s="2" t="s">
        <v>169</v>
      </c>
      <c r="E575" s="18">
        <v>1</v>
      </c>
      <c r="F575" s="18">
        <v>5</v>
      </c>
      <c r="G575" s="18">
        <v>4</v>
      </c>
      <c r="H575" s="18">
        <v>3</v>
      </c>
      <c r="I575" s="18">
        <v>0</v>
      </c>
      <c r="J575" s="18">
        <v>0</v>
      </c>
      <c r="K575" s="18" t="s">
        <v>162</v>
      </c>
      <c r="T575" s="3">
        <v>13</v>
      </c>
      <c r="U575" s="3">
        <v>10</v>
      </c>
      <c r="V575" s="3">
        <v>2</v>
      </c>
      <c r="X575" s="2" t="s">
        <v>1208</v>
      </c>
      <c r="Y575" s="18">
        <v>0</v>
      </c>
      <c r="Z575" s="18">
        <v>0</v>
      </c>
      <c r="AA575" s="18">
        <v>0</v>
      </c>
      <c r="AB575" s="18">
        <v>0</v>
      </c>
      <c r="AC575" s="18">
        <v>3</v>
      </c>
      <c r="AD575" s="18">
        <v>0</v>
      </c>
      <c r="AE575" s="18">
        <v>8</v>
      </c>
      <c r="AN575" s="3">
        <v>11</v>
      </c>
      <c r="AO575" s="3">
        <v>5</v>
      </c>
      <c r="AP575" s="3">
        <v>4</v>
      </c>
      <c r="AR575" s="2" t="s">
        <v>1209</v>
      </c>
    </row>
    <row r="576" spans="1:44" ht="12.75" customHeight="1">
      <c r="A576" s="4">
        <f>DATE(79,4,30)</f>
        <v>28975</v>
      </c>
      <c r="B576" s="2" t="s">
        <v>152</v>
      </c>
      <c r="C576" s="2" t="s">
        <v>382</v>
      </c>
      <c r="E576" s="18">
        <v>0</v>
      </c>
      <c r="F576" s="18">
        <v>7</v>
      </c>
      <c r="G576" s="18">
        <v>0</v>
      </c>
      <c r="H576" s="18">
        <v>2</v>
      </c>
      <c r="I576" s="18">
        <v>0</v>
      </c>
      <c r="J576" s="18">
        <v>0</v>
      </c>
      <c r="K576" s="18">
        <v>4</v>
      </c>
      <c r="T576" s="3">
        <v>13</v>
      </c>
      <c r="U576" s="3">
        <v>10</v>
      </c>
      <c r="V576" s="3">
        <v>1</v>
      </c>
      <c r="X576" s="2" t="s">
        <v>1210</v>
      </c>
      <c r="Y576" s="18">
        <v>0</v>
      </c>
      <c r="Z576" s="18">
        <v>0</v>
      </c>
      <c r="AA576" s="18">
        <v>2</v>
      </c>
      <c r="AB576" s="18">
        <v>0</v>
      </c>
      <c r="AC576" s="18">
        <v>0</v>
      </c>
      <c r="AD576" s="18">
        <v>0</v>
      </c>
      <c r="AE576" s="18" t="s">
        <v>162</v>
      </c>
      <c r="AN576" s="3">
        <v>2</v>
      </c>
      <c r="AO576" s="3">
        <v>3</v>
      </c>
      <c r="AP576" s="3">
        <v>2</v>
      </c>
      <c r="AR576" s="2" t="s">
        <v>1211</v>
      </c>
    </row>
    <row r="577" spans="1:44" ht="12.75" customHeight="1">
      <c r="A577" s="4">
        <f>DATE(79,5,1)</f>
        <v>28976</v>
      </c>
      <c r="C577" s="2" t="s">
        <v>174</v>
      </c>
      <c r="E577" s="18">
        <v>2</v>
      </c>
      <c r="F577" s="18">
        <v>9</v>
      </c>
      <c r="G577" s="18">
        <v>6</v>
      </c>
      <c r="H577" s="18">
        <v>1</v>
      </c>
      <c r="I577" s="18" t="s">
        <v>162</v>
      </c>
      <c r="T577" s="3">
        <v>18</v>
      </c>
      <c r="U577" s="3">
        <v>16</v>
      </c>
      <c r="V577" s="3">
        <v>1</v>
      </c>
      <c r="X577" s="2" t="s">
        <v>1140</v>
      </c>
      <c r="Y577" s="18">
        <v>0</v>
      </c>
      <c r="Z577" s="18">
        <v>0</v>
      </c>
      <c r="AA577" s="18">
        <v>0</v>
      </c>
      <c r="AB577" s="18">
        <v>1</v>
      </c>
      <c r="AC577" s="18">
        <v>5</v>
      </c>
      <c r="AN577" s="3">
        <v>6</v>
      </c>
      <c r="AO577" s="3">
        <v>7</v>
      </c>
      <c r="AP577" s="3">
        <v>4</v>
      </c>
      <c r="AR577" s="2" t="s">
        <v>1212</v>
      </c>
    </row>
    <row r="578" spans="1:44" ht="12.75" customHeight="1">
      <c r="A578" s="4">
        <f>DATE(79,5,4)</f>
        <v>28979</v>
      </c>
      <c r="B578" s="2" t="s">
        <v>152</v>
      </c>
      <c r="C578" s="2" t="s">
        <v>374</v>
      </c>
      <c r="E578" s="18">
        <v>4</v>
      </c>
      <c r="F578" s="18">
        <v>1</v>
      </c>
      <c r="G578" s="18">
        <v>1</v>
      </c>
      <c r="H578" s="18">
        <v>2</v>
      </c>
      <c r="I578" s="18">
        <v>1</v>
      </c>
      <c r="J578" s="18">
        <v>1</v>
      </c>
      <c r="T578" s="3">
        <v>10</v>
      </c>
      <c r="U578" s="3">
        <v>14</v>
      </c>
      <c r="V578" s="3">
        <v>0</v>
      </c>
      <c r="X578" s="2" t="s">
        <v>1213</v>
      </c>
      <c r="Y578" s="18">
        <v>0</v>
      </c>
      <c r="Z578" s="18">
        <v>0</v>
      </c>
      <c r="AA578" s="18">
        <v>0</v>
      </c>
      <c r="AB578" s="18">
        <v>0</v>
      </c>
      <c r="AC578" s="18">
        <v>0</v>
      </c>
      <c r="AD578" s="18" t="s">
        <v>158</v>
      </c>
      <c r="AN578" s="3">
        <v>0</v>
      </c>
      <c r="AO578" s="3">
        <v>1</v>
      </c>
      <c r="AP578" s="3">
        <v>2</v>
      </c>
      <c r="AR578" s="2" t="s">
        <v>1214</v>
      </c>
    </row>
    <row r="579" spans="1:44" ht="12.75" customHeight="1">
      <c r="A579" s="4">
        <f>DATE(79,5,5)</f>
        <v>28980</v>
      </c>
      <c r="B579" s="2" t="s">
        <v>152</v>
      </c>
      <c r="C579" s="2" t="s">
        <v>183</v>
      </c>
      <c r="E579" s="18">
        <v>0</v>
      </c>
      <c r="F579" s="18">
        <v>0</v>
      </c>
      <c r="G579" s="18">
        <v>0</v>
      </c>
      <c r="H579" s="18">
        <v>2</v>
      </c>
      <c r="I579" s="18">
        <v>1</v>
      </c>
      <c r="J579" s="18">
        <v>0</v>
      </c>
      <c r="K579" s="18">
        <v>3</v>
      </c>
      <c r="T579" s="3">
        <v>6</v>
      </c>
      <c r="U579" s="3">
        <v>8</v>
      </c>
      <c r="V579" s="3">
        <v>2</v>
      </c>
      <c r="X579" s="2" t="s">
        <v>1149</v>
      </c>
      <c r="Y579" s="18">
        <v>0</v>
      </c>
      <c r="Z579" s="18">
        <v>0</v>
      </c>
      <c r="AA579" s="18">
        <v>0</v>
      </c>
      <c r="AB579" s="18">
        <v>2</v>
      </c>
      <c r="AC579" s="18">
        <v>0</v>
      </c>
      <c r="AD579" s="18">
        <v>0</v>
      </c>
      <c r="AE579" s="18">
        <v>0</v>
      </c>
      <c r="AN579" s="3">
        <v>2</v>
      </c>
      <c r="AO579" s="3">
        <v>3</v>
      </c>
      <c r="AP579" s="3">
        <v>2</v>
      </c>
      <c r="AR579" s="2" t="s">
        <v>1215</v>
      </c>
    </row>
    <row r="580" spans="1:44" ht="12.75" customHeight="1">
      <c r="A580" s="4">
        <f>DATE(79,5,8)</f>
        <v>28983</v>
      </c>
      <c r="B580" s="2" t="s">
        <v>152</v>
      </c>
      <c r="C580" s="2" t="s">
        <v>236</v>
      </c>
      <c r="E580" s="18">
        <v>1</v>
      </c>
      <c r="F580" s="18">
        <v>1</v>
      </c>
      <c r="G580" s="18">
        <v>3</v>
      </c>
      <c r="H580" s="18">
        <v>0</v>
      </c>
      <c r="I580" s="18">
        <v>0</v>
      </c>
      <c r="J580" s="18">
        <v>0</v>
      </c>
      <c r="K580" s="18">
        <v>3</v>
      </c>
      <c r="T580" s="3">
        <v>8</v>
      </c>
      <c r="U580" s="3">
        <v>11</v>
      </c>
      <c r="V580" s="3">
        <v>1</v>
      </c>
      <c r="X580" s="2" t="s">
        <v>1070</v>
      </c>
      <c r="Y580" s="18">
        <v>0</v>
      </c>
      <c r="Z580" s="18">
        <v>0</v>
      </c>
      <c r="AA580" s="18">
        <v>2</v>
      </c>
      <c r="AB580" s="18">
        <v>0</v>
      </c>
      <c r="AC580" s="18">
        <v>0</v>
      </c>
      <c r="AD580" s="18">
        <v>0</v>
      </c>
      <c r="AE580" s="18">
        <v>0</v>
      </c>
      <c r="AN580" s="3">
        <v>2</v>
      </c>
      <c r="AO580" s="3">
        <v>5</v>
      </c>
      <c r="AP580" s="3">
        <v>1</v>
      </c>
      <c r="AR580" s="2" t="s">
        <v>1216</v>
      </c>
    </row>
    <row r="581" spans="1:44" ht="12.75" customHeight="1">
      <c r="A581" s="4">
        <f>DATE(79,5,11)</f>
        <v>28986</v>
      </c>
      <c r="C581" s="2" t="s">
        <v>378</v>
      </c>
      <c r="E581" s="18">
        <v>0</v>
      </c>
      <c r="F581" s="18">
        <v>2</v>
      </c>
      <c r="G581" s="18">
        <v>3</v>
      </c>
      <c r="H581" s="18">
        <v>0</v>
      </c>
      <c r="I581" s="18">
        <v>1</v>
      </c>
      <c r="J581" s="18">
        <v>2</v>
      </c>
      <c r="K581" s="18" t="s">
        <v>162</v>
      </c>
      <c r="T581" s="3">
        <v>8</v>
      </c>
      <c r="U581" s="3">
        <v>11</v>
      </c>
      <c r="V581" s="3">
        <v>0</v>
      </c>
      <c r="X581" s="2" t="s">
        <v>1195</v>
      </c>
      <c r="Y581" s="18">
        <v>0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N581" s="3">
        <v>0</v>
      </c>
      <c r="AO581" s="3">
        <v>3</v>
      </c>
      <c r="AP581" s="3">
        <v>4</v>
      </c>
      <c r="AR581" s="2" t="s">
        <v>1217</v>
      </c>
    </row>
    <row r="582" spans="1:44" ht="12.75" customHeight="1">
      <c r="A582" s="4">
        <f>DATE(79,5,12)</f>
        <v>28987</v>
      </c>
      <c r="B582" s="2" t="s">
        <v>239</v>
      </c>
      <c r="C582" s="2" t="s">
        <v>378</v>
      </c>
      <c r="E582" s="18">
        <v>0</v>
      </c>
      <c r="F582" s="18">
        <v>0</v>
      </c>
      <c r="G582" s="18">
        <v>0</v>
      </c>
      <c r="H582" s="18">
        <v>7</v>
      </c>
      <c r="I582" s="18">
        <v>1</v>
      </c>
      <c r="J582" s="18">
        <v>0</v>
      </c>
      <c r="K582" s="18" t="s">
        <v>162</v>
      </c>
      <c r="T582" s="3">
        <v>8</v>
      </c>
      <c r="U582" s="3">
        <v>8</v>
      </c>
      <c r="V582" s="3">
        <v>1</v>
      </c>
      <c r="X582" s="2" t="s">
        <v>1218</v>
      </c>
      <c r="Y582" s="18">
        <v>0</v>
      </c>
      <c r="Z582" s="18">
        <v>0</v>
      </c>
      <c r="AA582" s="18">
        <v>1</v>
      </c>
      <c r="AB582" s="18">
        <v>0</v>
      </c>
      <c r="AC582" s="18">
        <v>0</v>
      </c>
      <c r="AD582" s="18">
        <v>0</v>
      </c>
      <c r="AE582" s="18">
        <v>0</v>
      </c>
      <c r="AN582" s="3">
        <v>1</v>
      </c>
      <c r="AO582" s="3">
        <v>3</v>
      </c>
      <c r="AP582" s="3">
        <v>4</v>
      </c>
      <c r="AR582" s="2" t="s">
        <v>1219</v>
      </c>
    </row>
    <row r="583" spans="1:44" ht="12.75" customHeight="1">
      <c r="A583" s="4">
        <f>DATE(79,5,12)</f>
        <v>28987</v>
      </c>
      <c r="B583" s="2" t="s">
        <v>239</v>
      </c>
      <c r="C583" s="2" t="s">
        <v>386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T583" s="3">
        <v>0</v>
      </c>
      <c r="U583" s="3">
        <v>5</v>
      </c>
      <c r="V583" s="3">
        <v>7</v>
      </c>
      <c r="X583" s="2" t="s">
        <v>1157</v>
      </c>
      <c r="Y583" s="18">
        <v>1</v>
      </c>
      <c r="Z583" s="18">
        <v>0</v>
      </c>
      <c r="AA583" s="18">
        <v>3</v>
      </c>
      <c r="AB583" s="18">
        <v>2</v>
      </c>
      <c r="AC583" s="18">
        <v>0</v>
      </c>
      <c r="AD583" s="18">
        <v>3</v>
      </c>
      <c r="AE583" s="18" t="s">
        <v>162</v>
      </c>
      <c r="AN583" s="3">
        <v>9</v>
      </c>
      <c r="AO583" s="3">
        <v>9</v>
      </c>
      <c r="AP583" s="3">
        <v>0</v>
      </c>
      <c r="AR583" s="2" t="s">
        <v>277</v>
      </c>
    </row>
    <row r="584" spans="1:44" ht="12.75" customHeight="1">
      <c r="A584" s="4">
        <f>DATE(79,5,16)</f>
        <v>28991</v>
      </c>
      <c r="B584" s="2" t="s">
        <v>152</v>
      </c>
      <c r="C584" s="2" t="s">
        <v>175</v>
      </c>
      <c r="E584" s="18">
        <v>1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T584" s="3">
        <v>1</v>
      </c>
      <c r="U584" s="3">
        <v>5</v>
      </c>
      <c r="V584" s="3">
        <v>1</v>
      </c>
      <c r="X584" s="2" t="s">
        <v>1221</v>
      </c>
      <c r="Y584" s="18">
        <v>0</v>
      </c>
      <c r="Z584" s="18">
        <v>1</v>
      </c>
      <c r="AA584" s="18">
        <v>0</v>
      </c>
      <c r="AB584" s="18">
        <v>0</v>
      </c>
      <c r="AC584" s="18">
        <v>0</v>
      </c>
      <c r="AD584" s="18">
        <v>0</v>
      </c>
      <c r="AE584" s="18">
        <v>0</v>
      </c>
      <c r="AF584" s="18">
        <v>1</v>
      </c>
      <c r="AN584" s="3">
        <v>2</v>
      </c>
      <c r="AO584" s="3">
        <v>4</v>
      </c>
      <c r="AP584" s="3">
        <v>1</v>
      </c>
      <c r="AR584" s="2" t="s">
        <v>1222</v>
      </c>
    </row>
    <row r="585" spans="1:44" ht="12.75" customHeight="1">
      <c r="A585" s="4">
        <f>DATE(79,5,17)</f>
        <v>28992</v>
      </c>
      <c r="C585" s="2" t="s">
        <v>379</v>
      </c>
      <c r="E585" s="18">
        <v>3</v>
      </c>
      <c r="F585" s="18">
        <v>3</v>
      </c>
      <c r="G585" s="18">
        <v>8</v>
      </c>
      <c r="H585" s="18">
        <v>2</v>
      </c>
      <c r="I585" s="18" t="s">
        <v>158</v>
      </c>
      <c r="T585" s="3">
        <v>16</v>
      </c>
      <c r="U585" s="3">
        <v>15</v>
      </c>
      <c r="V585" s="3">
        <v>2</v>
      </c>
      <c r="X585" s="2" t="s">
        <v>1213</v>
      </c>
      <c r="Y585" s="18">
        <v>0</v>
      </c>
      <c r="Z585" s="18">
        <v>0</v>
      </c>
      <c r="AA585" s="18">
        <v>0</v>
      </c>
      <c r="AB585" s="18">
        <v>0</v>
      </c>
      <c r="AC585" s="18">
        <v>4</v>
      </c>
      <c r="AN585" s="3">
        <v>4</v>
      </c>
      <c r="AO585" s="3">
        <v>3</v>
      </c>
      <c r="AP585" s="3">
        <v>4</v>
      </c>
      <c r="AR585" s="2" t="s">
        <v>278</v>
      </c>
    </row>
    <row r="586" spans="1:44" ht="12.75" customHeight="1">
      <c r="A586" s="4">
        <f>DATE(79,5,22)</f>
        <v>28997</v>
      </c>
      <c r="B586" s="2" t="s">
        <v>239</v>
      </c>
      <c r="C586" s="2" t="s">
        <v>183</v>
      </c>
      <c r="D586" s="2" t="s">
        <v>258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2</v>
      </c>
      <c r="K586" s="18">
        <v>0</v>
      </c>
      <c r="L586" s="18">
        <v>0</v>
      </c>
      <c r="M586" s="18">
        <v>1</v>
      </c>
      <c r="T586" s="3">
        <v>3</v>
      </c>
      <c r="U586" s="3">
        <v>6</v>
      </c>
      <c r="V586" s="3">
        <v>1</v>
      </c>
      <c r="X586" s="2" t="s">
        <v>1223</v>
      </c>
      <c r="Y586" s="18">
        <v>0</v>
      </c>
      <c r="Z586" s="18">
        <v>0</v>
      </c>
      <c r="AA586" s="18">
        <v>0</v>
      </c>
      <c r="AB586" s="18">
        <v>2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N586" s="3">
        <v>2</v>
      </c>
      <c r="AO586" s="3">
        <v>6</v>
      </c>
      <c r="AP586" s="3">
        <v>1</v>
      </c>
      <c r="AR586" s="2" t="s">
        <v>1224</v>
      </c>
    </row>
    <row r="587" spans="1:44" ht="12.75" customHeight="1">
      <c r="A587" s="4">
        <f>DATE(79,6,2)</f>
        <v>29008</v>
      </c>
      <c r="C587" s="2" t="s">
        <v>168</v>
      </c>
      <c r="E587" s="18">
        <v>3</v>
      </c>
      <c r="F587" s="18">
        <v>1</v>
      </c>
      <c r="G587" s="18">
        <v>0</v>
      </c>
      <c r="H587" s="18">
        <v>1</v>
      </c>
      <c r="I587" s="18">
        <v>0</v>
      </c>
      <c r="J587" s="18">
        <v>2</v>
      </c>
      <c r="K587" s="18" t="s">
        <v>162</v>
      </c>
      <c r="T587" s="3">
        <v>7</v>
      </c>
      <c r="U587" s="3">
        <v>9</v>
      </c>
      <c r="V587" s="3">
        <v>1</v>
      </c>
      <c r="X587" s="2" t="s">
        <v>1225</v>
      </c>
      <c r="Y587" s="18">
        <v>0</v>
      </c>
      <c r="Z587" s="18">
        <v>0</v>
      </c>
      <c r="AA587" s="18">
        <v>2</v>
      </c>
      <c r="AB587" s="18">
        <v>1</v>
      </c>
      <c r="AC587" s="18">
        <v>3</v>
      </c>
      <c r="AD587" s="18">
        <v>0</v>
      </c>
      <c r="AE587" s="18">
        <v>0</v>
      </c>
      <c r="AN587" s="3">
        <v>6</v>
      </c>
      <c r="AO587" s="3">
        <v>9</v>
      </c>
      <c r="AP587" s="3">
        <v>3</v>
      </c>
      <c r="AR587" s="2" t="s">
        <v>1226</v>
      </c>
    </row>
    <row r="588" spans="1:44" ht="12.75" customHeight="1">
      <c r="A588" s="4">
        <f>DATE(79,6,2)</f>
        <v>29008</v>
      </c>
      <c r="C588" s="2" t="s">
        <v>279</v>
      </c>
      <c r="E588" s="18">
        <v>0</v>
      </c>
      <c r="F588" s="18">
        <v>2</v>
      </c>
      <c r="G588" s="18">
        <v>3</v>
      </c>
      <c r="H588" s="18">
        <v>0</v>
      </c>
      <c r="I588" s="18">
        <v>0</v>
      </c>
      <c r="J588" s="18">
        <v>5</v>
      </c>
      <c r="K588" s="18" t="s">
        <v>162</v>
      </c>
      <c r="T588" s="3">
        <v>10</v>
      </c>
      <c r="U588" s="3">
        <v>10</v>
      </c>
      <c r="V588" s="3">
        <v>2</v>
      </c>
      <c r="X588" s="2" t="s">
        <v>1227</v>
      </c>
      <c r="Y588" s="18">
        <v>1</v>
      </c>
      <c r="Z588" s="18">
        <v>1</v>
      </c>
      <c r="AA588" s="18">
        <v>0</v>
      </c>
      <c r="AB588" s="18">
        <v>0</v>
      </c>
      <c r="AC588" s="18">
        <v>1</v>
      </c>
      <c r="AD588" s="18">
        <v>1</v>
      </c>
      <c r="AE588" s="18">
        <v>0</v>
      </c>
      <c r="AN588" s="3">
        <v>4</v>
      </c>
      <c r="AO588" s="3">
        <v>8</v>
      </c>
      <c r="AP588" s="3">
        <v>3</v>
      </c>
      <c r="AR588" s="2" t="s">
        <v>280</v>
      </c>
    </row>
    <row r="589" spans="1:44" ht="12.75" customHeight="1">
      <c r="A589" s="4">
        <f>DATE(79,6,13)</f>
        <v>29019</v>
      </c>
      <c r="B589" s="2" t="s">
        <v>239</v>
      </c>
      <c r="C589" s="2" t="s">
        <v>281</v>
      </c>
      <c r="D589" s="2" t="s">
        <v>260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1</v>
      </c>
      <c r="K589" s="18" t="s">
        <v>162</v>
      </c>
      <c r="T589" s="3">
        <v>1</v>
      </c>
      <c r="U589" s="3">
        <v>4</v>
      </c>
      <c r="V589" s="3">
        <v>2</v>
      </c>
      <c r="X589" s="2" t="s">
        <v>1195</v>
      </c>
      <c r="Y589" s="18"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  <c r="AE589" s="18">
        <v>0</v>
      </c>
      <c r="AN589" s="3">
        <v>0</v>
      </c>
      <c r="AO589" s="3">
        <v>3</v>
      </c>
      <c r="AP589" s="3">
        <v>3</v>
      </c>
      <c r="AR589" s="2" t="s">
        <v>1228</v>
      </c>
    </row>
    <row r="590" spans="1:44" ht="12.75" customHeight="1">
      <c r="A590" s="4">
        <f>DATE(79,6,14)</f>
        <v>29020</v>
      </c>
      <c r="B590" s="2" t="s">
        <v>239</v>
      </c>
      <c r="C590" s="2" t="s">
        <v>622</v>
      </c>
      <c r="D590" s="2" t="s">
        <v>260</v>
      </c>
      <c r="E590" s="18">
        <v>0</v>
      </c>
      <c r="F590" s="18">
        <v>0</v>
      </c>
      <c r="G590" s="18">
        <v>0</v>
      </c>
      <c r="H590" s="18">
        <v>1</v>
      </c>
      <c r="I590" s="18">
        <v>6</v>
      </c>
      <c r="J590" s="18">
        <v>0</v>
      </c>
      <c r="K590" s="18">
        <v>0</v>
      </c>
      <c r="T590" s="3">
        <v>7</v>
      </c>
      <c r="U590" s="3">
        <v>11</v>
      </c>
      <c r="V590" s="3">
        <v>1</v>
      </c>
      <c r="X590" s="2" t="s">
        <v>1070</v>
      </c>
      <c r="Y590" s="18">
        <v>1</v>
      </c>
      <c r="Z590" s="18">
        <v>0</v>
      </c>
      <c r="AA590" s="18">
        <v>0</v>
      </c>
      <c r="AB590" s="18">
        <v>1</v>
      </c>
      <c r="AC590" s="18">
        <v>1</v>
      </c>
      <c r="AD590" s="18">
        <v>0</v>
      </c>
      <c r="AE590" s="18">
        <v>0</v>
      </c>
      <c r="AN590" s="3">
        <v>3</v>
      </c>
      <c r="AO590" s="3">
        <v>7</v>
      </c>
      <c r="AP590" s="3">
        <v>2</v>
      </c>
      <c r="AR590" s="2" t="s">
        <v>1229</v>
      </c>
    </row>
    <row r="591" spans="1:44" ht="12.75" customHeight="1">
      <c r="A591" s="4">
        <f>DATE(79,6,15)</f>
        <v>29021</v>
      </c>
      <c r="B591" s="2" t="s">
        <v>239</v>
      </c>
      <c r="C591" s="2" t="s">
        <v>282</v>
      </c>
      <c r="D591" s="2" t="s">
        <v>260</v>
      </c>
      <c r="E591" s="18">
        <v>0</v>
      </c>
      <c r="F591" s="18">
        <v>0</v>
      </c>
      <c r="G591" s="18">
        <v>0</v>
      </c>
      <c r="H591" s="18">
        <v>1</v>
      </c>
      <c r="I591" s="18">
        <v>0</v>
      </c>
      <c r="J591" s="18">
        <v>0</v>
      </c>
      <c r="K591" s="18">
        <v>1</v>
      </c>
      <c r="T591" s="3">
        <v>2</v>
      </c>
      <c r="U591" s="3">
        <v>4</v>
      </c>
      <c r="V591" s="3">
        <v>2</v>
      </c>
      <c r="X591" s="2" t="s">
        <v>1230</v>
      </c>
      <c r="Y591" s="18">
        <v>3</v>
      </c>
      <c r="Z591" s="18">
        <v>2</v>
      </c>
      <c r="AA591" s="18">
        <v>0</v>
      </c>
      <c r="AB591" s="18">
        <v>2</v>
      </c>
      <c r="AC591" s="18">
        <v>0</v>
      </c>
      <c r="AD591" s="18">
        <v>2</v>
      </c>
      <c r="AE591" s="18" t="s">
        <v>162</v>
      </c>
      <c r="AN591" s="3">
        <v>9</v>
      </c>
      <c r="AO591" s="3">
        <v>6</v>
      </c>
      <c r="AP591" s="3">
        <v>3</v>
      </c>
      <c r="AR591" s="2" t="s">
        <v>1231</v>
      </c>
    </row>
    <row r="592" ht="12.75" customHeight="1">
      <c r="A592" s="4"/>
    </row>
    <row r="593" spans="1:45" ht="12.75" customHeight="1">
      <c r="A593" s="4">
        <f>DATE(80,4,1)</f>
        <v>29312</v>
      </c>
      <c r="B593" s="2" t="s">
        <v>152</v>
      </c>
      <c r="C593" s="2" t="s">
        <v>1232</v>
      </c>
      <c r="E593" s="18">
        <v>0</v>
      </c>
      <c r="F593" s="18">
        <v>0</v>
      </c>
      <c r="G593" s="18">
        <v>0</v>
      </c>
      <c r="H593" s="18">
        <v>0</v>
      </c>
      <c r="I593" s="18">
        <v>1</v>
      </c>
      <c r="J593" s="18">
        <v>1</v>
      </c>
      <c r="K593" s="18">
        <v>0</v>
      </c>
      <c r="T593" s="3">
        <v>2</v>
      </c>
      <c r="U593" s="3">
        <v>5</v>
      </c>
      <c r="V593" s="3">
        <v>1</v>
      </c>
      <c r="X593" s="2" t="s">
        <v>1233</v>
      </c>
      <c r="Y593" s="18">
        <v>0</v>
      </c>
      <c r="Z593" s="18">
        <v>0</v>
      </c>
      <c r="AA593" s="18">
        <v>0</v>
      </c>
      <c r="AB593" s="18">
        <v>1</v>
      </c>
      <c r="AC593" s="18">
        <v>0</v>
      </c>
      <c r="AD593" s="18">
        <v>0</v>
      </c>
      <c r="AE593" s="18">
        <v>2</v>
      </c>
      <c r="AN593" s="3">
        <v>3</v>
      </c>
      <c r="AO593" s="3">
        <v>5</v>
      </c>
      <c r="AP593" s="3">
        <v>3</v>
      </c>
      <c r="AR593" s="2" t="s">
        <v>1234</v>
      </c>
      <c r="AS593" s="2" t="s">
        <v>1040</v>
      </c>
    </row>
    <row r="594" spans="1:46" ht="12.75" customHeight="1">
      <c r="A594" s="4">
        <f>DATE(80,4,2)</f>
        <v>29313</v>
      </c>
      <c r="B594" s="2" t="s">
        <v>152</v>
      </c>
      <c r="C594" s="2" t="s">
        <v>1235</v>
      </c>
      <c r="E594" s="18">
        <v>0</v>
      </c>
      <c r="F594" s="18">
        <v>0</v>
      </c>
      <c r="G594" s="18">
        <v>0</v>
      </c>
      <c r="H594" s="18">
        <v>0</v>
      </c>
      <c r="I594" s="18">
        <v>3</v>
      </c>
      <c r="J594" s="18">
        <v>1</v>
      </c>
      <c r="K594" s="18">
        <v>0</v>
      </c>
      <c r="L594" s="18">
        <v>0</v>
      </c>
      <c r="M594" s="18">
        <v>2</v>
      </c>
      <c r="T594" s="3">
        <v>6</v>
      </c>
      <c r="U594" s="3">
        <v>4</v>
      </c>
      <c r="V594" s="3">
        <v>3</v>
      </c>
      <c r="X594" s="2" t="s">
        <v>1236</v>
      </c>
      <c r="Y594" s="18">
        <v>3</v>
      </c>
      <c r="Z594" s="18">
        <v>0</v>
      </c>
      <c r="AA594" s="18">
        <v>0</v>
      </c>
      <c r="AB594" s="18">
        <v>0</v>
      </c>
      <c r="AC594" s="18">
        <v>1</v>
      </c>
      <c r="AD594" s="18">
        <v>0</v>
      </c>
      <c r="AE594" s="18">
        <v>0</v>
      </c>
      <c r="AF594" s="18">
        <v>0</v>
      </c>
      <c r="AG594" s="18">
        <v>0</v>
      </c>
      <c r="AN594" s="3">
        <v>4</v>
      </c>
      <c r="AO594" s="3">
        <v>5</v>
      </c>
      <c r="AP594" s="3">
        <v>4</v>
      </c>
      <c r="AR594" s="2" t="s">
        <v>1238</v>
      </c>
      <c r="AS594" s="2" t="s">
        <v>283</v>
      </c>
      <c r="AT594" s="2" t="s">
        <v>143</v>
      </c>
    </row>
    <row r="595" spans="1:45" ht="12.75" customHeight="1">
      <c r="A595" s="4">
        <f>DATE(80,4,2)</f>
        <v>29313</v>
      </c>
      <c r="B595" s="2" t="s">
        <v>152</v>
      </c>
      <c r="C595" s="2" t="s">
        <v>623</v>
      </c>
      <c r="E595" s="18">
        <v>0</v>
      </c>
      <c r="F595" s="18">
        <v>0</v>
      </c>
      <c r="G595" s="18">
        <v>0</v>
      </c>
      <c r="H595" s="18">
        <v>1</v>
      </c>
      <c r="I595" s="18">
        <v>2</v>
      </c>
      <c r="J595" s="18">
        <v>0</v>
      </c>
      <c r="K595" s="18">
        <v>5</v>
      </c>
      <c r="T595" s="3">
        <v>8</v>
      </c>
      <c r="U595" s="3">
        <v>8</v>
      </c>
      <c r="V595" s="3">
        <v>1</v>
      </c>
      <c r="X595" s="2" t="s">
        <v>1239</v>
      </c>
      <c r="Y595" s="18">
        <v>3</v>
      </c>
      <c r="Z595" s="18">
        <v>0</v>
      </c>
      <c r="AA595" s="18">
        <v>1</v>
      </c>
      <c r="AB595" s="18">
        <v>0</v>
      </c>
      <c r="AC595" s="18">
        <v>0</v>
      </c>
      <c r="AD595" s="18">
        <v>3</v>
      </c>
      <c r="AE595" s="18">
        <v>0</v>
      </c>
      <c r="AN595" s="3">
        <v>7</v>
      </c>
      <c r="AO595" s="3">
        <v>9</v>
      </c>
      <c r="AP595" s="3">
        <v>1</v>
      </c>
      <c r="AR595" s="2" t="s">
        <v>284</v>
      </c>
      <c r="AS595" s="2" t="s">
        <v>1102</v>
      </c>
    </row>
    <row r="596" spans="1:44" ht="12.75" customHeight="1">
      <c r="A596" s="4">
        <f>DATE(80,4,3)</f>
        <v>29314</v>
      </c>
      <c r="B596" s="2" t="s">
        <v>152</v>
      </c>
      <c r="C596" s="2" t="s">
        <v>1240</v>
      </c>
      <c r="E596" s="18">
        <v>1</v>
      </c>
      <c r="F596" s="18">
        <v>1</v>
      </c>
      <c r="G596" s="18">
        <v>1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T596" s="3">
        <v>3</v>
      </c>
      <c r="U596" s="3">
        <v>4</v>
      </c>
      <c r="V596" s="3">
        <v>4</v>
      </c>
      <c r="X596" s="2" t="s">
        <v>1241</v>
      </c>
      <c r="Y596" s="18">
        <v>0</v>
      </c>
      <c r="Z596" s="18">
        <v>0</v>
      </c>
      <c r="AA596" s="18">
        <v>0</v>
      </c>
      <c r="AB596" s="18">
        <v>1</v>
      </c>
      <c r="AC596" s="18">
        <v>0</v>
      </c>
      <c r="AD596" s="18">
        <v>1</v>
      </c>
      <c r="AE596" s="18">
        <v>1</v>
      </c>
      <c r="AF596" s="18">
        <v>1</v>
      </c>
      <c r="AN596" s="3">
        <v>4</v>
      </c>
      <c r="AO596" s="3">
        <v>3</v>
      </c>
      <c r="AP596" s="3">
        <v>1</v>
      </c>
      <c r="AR596" s="2" t="s">
        <v>285</v>
      </c>
    </row>
    <row r="597" spans="1:44" ht="12.75" customHeight="1">
      <c r="A597" s="4">
        <f>DATE(80,4,3)</f>
        <v>29314</v>
      </c>
      <c r="B597" s="2" t="s">
        <v>152</v>
      </c>
      <c r="C597" s="2" t="s">
        <v>1232</v>
      </c>
      <c r="E597" s="18">
        <v>3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3</v>
      </c>
      <c r="T597" s="3">
        <v>6</v>
      </c>
      <c r="U597" s="3">
        <v>7</v>
      </c>
      <c r="V597" s="3">
        <v>4</v>
      </c>
      <c r="X597" s="2" t="s">
        <v>1218</v>
      </c>
      <c r="Y597" s="18">
        <v>0</v>
      </c>
      <c r="Z597" s="18">
        <v>0</v>
      </c>
      <c r="AA597" s="18">
        <v>0</v>
      </c>
      <c r="AB597" s="18">
        <v>0</v>
      </c>
      <c r="AC597" s="18">
        <v>1</v>
      </c>
      <c r="AD597" s="18">
        <v>0</v>
      </c>
      <c r="AE597" s="18">
        <v>0</v>
      </c>
      <c r="AN597" s="3">
        <v>1</v>
      </c>
      <c r="AO597" s="3">
        <v>3</v>
      </c>
      <c r="AP597" s="3">
        <v>2</v>
      </c>
      <c r="AR597" s="2" t="s">
        <v>286</v>
      </c>
    </row>
    <row r="598" spans="1:44" ht="12.75" customHeight="1">
      <c r="A598" s="4">
        <f>DATE(80,4,4)</f>
        <v>29315</v>
      </c>
      <c r="B598" s="2" t="s">
        <v>152</v>
      </c>
      <c r="C598" s="2" t="s">
        <v>1242</v>
      </c>
      <c r="E598" s="18">
        <v>1</v>
      </c>
      <c r="F598" s="18">
        <v>2</v>
      </c>
      <c r="G598" s="18">
        <v>0</v>
      </c>
      <c r="H598" s="18">
        <v>3</v>
      </c>
      <c r="I598" s="18">
        <v>0</v>
      </c>
      <c r="T598" s="3">
        <v>6</v>
      </c>
      <c r="U598" s="3">
        <v>8</v>
      </c>
      <c r="V598" s="3">
        <v>4</v>
      </c>
      <c r="X598" s="2" t="s">
        <v>1243</v>
      </c>
      <c r="Y598" s="18">
        <v>0</v>
      </c>
      <c r="Z598" s="18">
        <v>0</v>
      </c>
      <c r="AA598" s="18">
        <v>4</v>
      </c>
      <c r="AB598" s="18">
        <v>3</v>
      </c>
      <c r="AC598" s="18">
        <v>3</v>
      </c>
      <c r="AN598" s="3">
        <v>10</v>
      </c>
      <c r="AO598" s="3">
        <v>7</v>
      </c>
      <c r="AP598" s="3">
        <v>4</v>
      </c>
      <c r="AR598" s="2" t="s">
        <v>287</v>
      </c>
    </row>
    <row r="599" spans="1:44" ht="12.75" customHeight="1">
      <c r="A599" s="4">
        <f>DATE(80,4,5)</f>
        <v>29316</v>
      </c>
      <c r="B599" s="2" t="s">
        <v>152</v>
      </c>
      <c r="C599" s="2" t="s">
        <v>1244</v>
      </c>
      <c r="E599" s="18">
        <v>1</v>
      </c>
      <c r="F599" s="18">
        <v>4</v>
      </c>
      <c r="G599" s="18">
        <v>0</v>
      </c>
      <c r="H599" s="18">
        <v>4</v>
      </c>
      <c r="I599" s="18">
        <v>4</v>
      </c>
      <c r="J599" s="18">
        <v>3</v>
      </c>
      <c r="K599" s="18">
        <v>3</v>
      </c>
      <c r="T599" s="3">
        <v>19</v>
      </c>
      <c r="U599" s="3">
        <v>14</v>
      </c>
      <c r="V599" s="3">
        <v>3</v>
      </c>
      <c r="X599" s="2" t="s">
        <v>1245</v>
      </c>
      <c r="Y599" s="18">
        <v>0</v>
      </c>
      <c r="Z599" s="18">
        <v>0</v>
      </c>
      <c r="AA599" s="18">
        <v>1</v>
      </c>
      <c r="AB599" s="18">
        <v>0</v>
      </c>
      <c r="AC599" s="18">
        <v>3</v>
      </c>
      <c r="AD599" s="18">
        <v>3</v>
      </c>
      <c r="AE599" s="18">
        <v>3</v>
      </c>
      <c r="AN599" s="3">
        <v>10</v>
      </c>
      <c r="AO599" s="3">
        <v>9</v>
      </c>
      <c r="AP599" s="3">
        <v>6</v>
      </c>
      <c r="AR599" s="2" t="s">
        <v>288</v>
      </c>
    </row>
    <row r="600" spans="1:44" ht="12.75" customHeight="1">
      <c r="A600" s="4">
        <f>DATE(80,4,5)</f>
        <v>29316</v>
      </c>
      <c r="B600" s="2" t="s">
        <v>152</v>
      </c>
      <c r="C600" s="2" t="s">
        <v>1246</v>
      </c>
      <c r="E600" s="18">
        <v>1</v>
      </c>
      <c r="F600" s="18">
        <v>9</v>
      </c>
      <c r="G600" s="18">
        <v>0</v>
      </c>
      <c r="H600" s="18">
        <v>0</v>
      </c>
      <c r="I600" s="18">
        <v>0</v>
      </c>
      <c r="J600" s="18">
        <v>5</v>
      </c>
      <c r="K600" s="18">
        <v>0</v>
      </c>
      <c r="T600" s="3">
        <v>15</v>
      </c>
      <c r="U600" s="3">
        <v>11</v>
      </c>
      <c r="V600" s="3">
        <v>4</v>
      </c>
      <c r="X600" s="2" t="s">
        <v>1247</v>
      </c>
      <c r="Y600" s="18">
        <v>0</v>
      </c>
      <c r="Z600" s="18">
        <v>1</v>
      </c>
      <c r="AA600" s="18">
        <v>0</v>
      </c>
      <c r="AB600" s="18">
        <v>4</v>
      </c>
      <c r="AC600" s="18">
        <v>2</v>
      </c>
      <c r="AD600" s="18">
        <v>0</v>
      </c>
      <c r="AE600" s="18">
        <v>3</v>
      </c>
      <c r="AN600" s="3">
        <v>10</v>
      </c>
      <c r="AO600" s="3">
        <v>13</v>
      </c>
      <c r="AP600" s="3">
        <v>7</v>
      </c>
      <c r="AR600" s="2" t="s">
        <v>1248</v>
      </c>
    </row>
    <row r="601" spans="1:44" ht="12.75" customHeight="1">
      <c r="A601" s="4">
        <f>DATE(80,4,11)</f>
        <v>29322</v>
      </c>
      <c r="C601" s="2" t="s">
        <v>382</v>
      </c>
      <c r="E601" s="18">
        <v>1</v>
      </c>
      <c r="F601" s="18">
        <v>0</v>
      </c>
      <c r="G601" s="18">
        <v>0</v>
      </c>
      <c r="H601" s="18">
        <v>2</v>
      </c>
      <c r="I601" s="18">
        <v>2</v>
      </c>
      <c r="J601" s="18">
        <v>3</v>
      </c>
      <c r="K601" s="18" t="s">
        <v>162</v>
      </c>
      <c r="T601" s="3">
        <v>8</v>
      </c>
      <c r="U601" s="3">
        <v>12</v>
      </c>
      <c r="V601" s="3">
        <v>5</v>
      </c>
      <c r="X601" s="2" t="s">
        <v>1249</v>
      </c>
      <c r="Y601" s="18">
        <v>2</v>
      </c>
      <c r="Z601" s="18">
        <v>0</v>
      </c>
      <c r="AA601" s="18">
        <v>0</v>
      </c>
      <c r="AB601" s="18">
        <v>2</v>
      </c>
      <c r="AC601" s="18">
        <v>0</v>
      </c>
      <c r="AD601" s="18">
        <v>0</v>
      </c>
      <c r="AE601" s="18">
        <v>0</v>
      </c>
      <c r="AN601" s="3">
        <v>4</v>
      </c>
      <c r="AO601" s="3">
        <v>7</v>
      </c>
      <c r="AP601" s="3">
        <v>3</v>
      </c>
      <c r="AR601" s="2" t="s">
        <v>289</v>
      </c>
    </row>
    <row r="602" spans="1:44" ht="12.75" customHeight="1">
      <c r="A602" s="4">
        <f>DATE(80,4,15)</f>
        <v>29326</v>
      </c>
      <c r="B602" s="2" t="s">
        <v>152</v>
      </c>
      <c r="C602" s="2" t="s">
        <v>174</v>
      </c>
      <c r="E602" s="18">
        <v>0</v>
      </c>
      <c r="F602" s="18">
        <v>1</v>
      </c>
      <c r="G602" s="18">
        <v>1</v>
      </c>
      <c r="H602" s="18">
        <v>4</v>
      </c>
      <c r="I602" s="18">
        <v>0</v>
      </c>
      <c r="J602" s="18">
        <v>0</v>
      </c>
      <c r="T602" s="3">
        <v>6</v>
      </c>
      <c r="U602" s="3">
        <v>5</v>
      </c>
      <c r="V602" s="3">
        <v>1</v>
      </c>
      <c r="X602" s="2" t="s">
        <v>1245</v>
      </c>
      <c r="Y602" s="18">
        <v>1</v>
      </c>
      <c r="Z602" s="18">
        <v>0</v>
      </c>
      <c r="AA602" s="18">
        <v>0</v>
      </c>
      <c r="AB602" s="18">
        <v>0</v>
      </c>
      <c r="AC602" s="18">
        <v>3</v>
      </c>
      <c r="AD602" s="18">
        <v>0</v>
      </c>
      <c r="AN602" s="3">
        <v>4</v>
      </c>
      <c r="AO602" s="3">
        <v>5</v>
      </c>
      <c r="AP602" s="3">
        <v>1</v>
      </c>
      <c r="AR602" s="2" t="s">
        <v>1250</v>
      </c>
    </row>
    <row r="603" spans="1:44" ht="12.75" customHeight="1">
      <c r="A603" s="4">
        <f>DATE(80,4,17)</f>
        <v>29328</v>
      </c>
      <c r="C603" s="2" t="s">
        <v>374</v>
      </c>
      <c r="E603" s="18">
        <v>1</v>
      </c>
      <c r="F603" s="18">
        <v>1</v>
      </c>
      <c r="G603" s="18">
        <v>1</v>
      </c>
      <c r="H603" s="18">
        <v>3</v>
      </c>
      <c r="I603" s="18">
        <v>0</v>
      </c>
      <c r="J603" s="18">
        <v>0</v>
      </c>
      <c r="K603" s="18">
        <v>0</v>
      </c>
      <c r="T603" s="3">
        <v>6</v>
      </c>
      <c r="U603" s="3">
        <v>6</v>
      </c>
      <c r="V603" s="3">
        <v>4</v>
      </c>
      <c r="X603" s="2" t="s">
        <v>1251</v>
      </c>
      <c r="Y603" s="18">
        <v>0</v>
      </c>
      <c r="Z603" s="18">
        <v>3</v>
      </c>
      <c r="AA603" s="18">
        <v>2</v>
      </c>
      <c r="AB603" s="18">
        <v>5</v>
      </c>
      <c r="AC603" s="18">
        <v>0</v>
      </c>
      <c r="AD603" s="18">
        <v>0</v>
      </c>
      <c r="AE603" s="18">
        <v>0</v>
      </c>
      <c r="AN603" s="3">
        <v>10</v>
      </c>
      <c r="AO603" s="3">
        <v>8</v>
      </c>
      <c r="AP603" s="3">
        <v>3</v>
      </c>
      <c r="AR603" s="2" t="s">
        <v>1252</v>
      </c>
    </row>
    <row r="604" spans="1:44" ht="12.75" customHeight="1">
      <c r="A604" s="4">
        <f>DATE(80,4,19)</f>
        <v>29330</v>
      </c>
      <c r="C604" s="2" t="s">
        <v>367</v>
      </c>
      <c r="E604" s="18">
        <v>0</v>
      </c>
      <c r="F604" s="18">
        <v>0</v>
      </c>
      <c r="G604" s="18">
        <v>0</v>
      </c>
      <c r="H604" s="18">
        <v>4</v>
      </c>
      <c r="I604" s="18">
        <v>0</v>
      </c>
      <c r="J604" s="18">
        <v>0</v>
      </c>
      <c r="K604" s="18">
        <v>6</v>
      </c>
      <c r="T604" s="3">
        <v>10</v>
      </c>
      <c r="U604" s="3">
        <v>11</v>
      </c>
      <c r="V604" s="3">
        <v>2</v>
      </c>
      <c r="X604" s="2" t="s">
        <v>1218</v>
      </c>
      <c r="Y604" s="18">
        <v>1</v>
      </c>
      <c r="Z604" s="18">
        <v>0</v>
      </c>
      <c r="AA604" s="18">
        <v>0</v>
      </c>
      <c r="AB604" s="18">
        <v>3</v>
      </c>
      <c r="AC604" s="18">
        <v>0</v>
      </c>
      <c r="AD604" s="18">
        <v>3</v>
      </c>
      <c r="AE604" s="18">
        <v>2</v>
      </c>
      <c r="AN604" s="3">
        <v>9</v>
      </c>
      <c r="AO604" s="3">
        <v>13</v>
      </c>
      <c r="AP604" s="3">
        <v>3</v>
      </c>
      <c r="AR604" s="2" t="s">
        <v>1253</v>
      </c>
    </row>
    <row r="605" spans="1:44" ht="12.75" customHeight="1">
      <c r="A605" s="4">
        <f>DATE(80,4,19)</f>
        <v>29330</v>
      </c>
      <c r="C605" s="2" t="s">
        <v>367</v>
      </c>
      <c r="E605" s="18">
        <v>1</v>
      </c>
      <c r="F605" s="18">
        <v>2</v>
      </c>
      <c r="G605" s="18">
        <v>1</v>
      </c>
      <c r="H605" s="18">
        <v>1</v>
      </c>
      <c r="I605" s="18">
        <v>0</v>
      </c>
      <c r="J605" s="18">
        <v>2</v>
      </c>
      <c r="K605" s="18">
        <v>0</v>
      </c>
      <c r="T605" s="3">
        <v>7</v>
      </c>
      <c r="U605" s="3">
        <v>7</v>
      </c>
      <c r="V605" s="3">
        <v>2</v>
      </c>
      <c r="X605" s="2" t="s">
        <v>1254</v>
      </c>
      <c r="Y605" s="18">
        <v>0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1</v>
      </c>
      <c r="AN605" s="3">
        <v>1</v>
      </c>
      <c r="AO605" s="3">
        <v>1</v>
      </c>
      <c r="AP605" s="3">
        <v>6</v>
      </c>
      <c r="AR605" s="2" t="s">
        <v>1255</v>
      </c>
    </row>
    <row r="606" spans="1:44" ht="12.75" customHeight="1">
      <c r="A606" s="4">
        <f>DATE(80,4,22)</f>
        <v>29333</v>
      </c>
      <c r="C606" s="2" t="s">
        <v>236</v>
      </c>
      <c r="E606" s="18">
        <v>1</v>
      </c>
      <c r="F606" s="18">
        <v>0</v>
      </c>
      <c r="G606" s="18">
        <v>2</v>
      </c>
      <c r="H606" s="18">
        <v>2</v>
      </c>
      <c r="I606" s="18">
        <v>0</v>
      </c>
      <c r="J606" s="18">
        <v>2</v>
      </c>
      <c r="K606" s="18" t="s">
        <v>162</v>
      </c>
      <c r="T606" s="3">
        <v>7</v>
      </c>
      <c r="U606" s="3">
        <v>9</v>
      </c>
      <c r="V606" s="3">
        <v>0</v>
      </c>
      <c r="X606" s="2" t="s">
        <v>1256</v>
      </c>
      <c r="Y606" s="18">
        <v>0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  <c r="AE606" s="18">
        <v>0</v>
      </c>
      <c r="AN606" s="3">
        <v>0</v>
      </c>
      <c r="AO606" s="3">
        <v>2</v>
      </c>
      <c r="AP606" s="3">
        <v>3</v>
      </c>
      <c r="AR606" s="2" t="s">
        <v>1257</v>
      </c>
    </row>
    <row r="607" spans="1:44" ht="12.75" customHeight="1">
      <c r="A607" s="4">
        <f>DATE(80,4,24)</f>
        <v>29335</v>
      </c>
      <c r="B607" s="2" t="s">
        <v>152</v>
      </c>
      <c r="C607" s="2" t="s">
        <v>378</v>
      </c>
      <c r="E607" s="18">
        <v>0</v>
      </c>
      <c r="F607" s="18">
        <v>1</v>
      </c>
      <c r="G607" s="18">
        <v>7</v>
      </c>
      <c r="H607" s="18">
        <v>1</v>
      </c>
      <c r="I607" s="18">
        <v>3</v>
      </c>
      <c r="T607" s="3">
        <v>12</v>
      </c>
      <c r="U607" s="3">
        <v>15</v>
      </c>
      <c r="V607" s="3">
        <v>2</v>
      </c>
      <c r="X607" s="2" t="s">
        <v>1258</v>
      </c>
      <c r="Y607" s="18">
        <v>1</v>
      </c>
      <c r="Z607" s="18">
        <v>0</v>
      </c>
      <c r="AA607" s="18">
        <v>1</v>
      </c>
      <c r="AB607" s="18">
        <v>0</v>
      </c>
      <c r="AC607" s="18">
        <v>0</v>
      </c>
      <c r="AN607" s="3">
        <v>2</v>
      </c>
      <c r="AO607" s="3">
        <v>4</v>
      </c>
      <c r="AP607" s="3">
        <v>3</v>
      </c>
      <c r="AR607" s="2" t="s">
        <v>1259</v>
      </c>
    </row>
    <row r="608" spans="1:44" ht="12.75" customHeight="1">
      <c r="A608" s="4">
        <f>DATE(80,4,26)</f>
        <v>29337</v>
      </c>
      <c r="B608" s="2" t="s">
        <v>152</v>
      </c>
      <c r="C608" s="2" t="s">
        <v>169</v>
      </c>
      <c r="E608" s="18">
        <v>0</v>
      </c>
      <c r="F608" s="18">
        <v>2</v>
      </c>
      <c r="G608" s="18">
        <v>0</v>
      </c>
      <c r="H608" s="18">
        <v>0</v>
      </c>
      <c r="I608" s="18">
        <v>1</v>
      </c>
      <c r="J608" s="18">
        <v>0</v>
      </c>
      <c r="K608" s="18">
        <v>4</v>
      </c>
      <c r="T608" s="3">
        <v>7</v>
      </c>
      <c r="U608" s="3">
        <v>10</v>
      </c>
      <c r="V608" s="3">
        <v>0</v>
      </c>
      <c r="X608" s="2" t="s">
        <v>1254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N608" s="3">
        <v>0</v>
      </c>
      <c r="AO608" s="3">
        <v>2</v>
      </c>
      <c r="AP608" s="3">
        <v>3</v>
      </c>
      <c r="AR608" s="2" t="s">
        <v>1291</v>
      </c>
    </row>
    <row r="609" spans="1:44" ht="12.75" customHeight="1">
      <c r="A609" s="4">
        <f>DATE(80,5,1)</f>
        <v>29342</v>
      </c>
      <c r="B609" s="2" t="s">
        <v>152</v>
      </c>
      <c r="C609" s="2" t="s">
        <v>379</v>
      </c>
      <c r="E609" s="18">
        <v>0</v>
      </c>
      <c r="F609" s="18">
        <v>0</v>
      </c>
      <c r="G609" s="18">
        <v>0</v>
      </c>
      <c r="H609" s="18">
        <v>0</v>
      </c>
      <c r="I609" s="18">
        <v>1</v>
      </c>
      <c r="J609" s="18">
        <v>1</v>
      </c>
      <c r="K609" s="18">
        <v>0</v>
      </c>
      <c r="T609" s="3">
        <v>2</v>
      </c>
      <c r="U609" s="3">
        <v>5</v>
      </c>
      <c r="V609" s="3">
        <v>3</v>
      </c>
      <c r="X609" s="2" t="s">
        <v>1292</v>
      </c>
      <c r="Y609" s="18">
        <v>2</v>
      </c>
      <c r="Z609" s="18">
        <v>0</v>
      </c>
      <c r="AA609" s="18">
        <v>1</v>
      </c>
      <c r="AB609" s="18">
        <v>0</v>
      </c>
      <c r="AC609" s="18">
        <v>1</v>
      </c>
      <c r="AD609" s="18">
        <v>0</v>
      </c>
      <c r="AE609" s="18" t="s">
        <v>162</v>
      </c>
      <c r="AN609" s="3">
        <v>4</v>
      </c>
      <c r="AO609" s="3">
        <v>9</v>
      </c>
      <c r="AP609" s="3">
        <v>1</v>
      </c>
      <c r="AR609" s="2" t="s">
        <v>1293</v>
      </c>
    </row>
    <row r="610" spans="1:44" ht="12.75" customHeight="1">
      <c r="A610" s="4">
        <f>DATE(80,5,2)</f>
        <v>29343</v>
      </c>
      <c r="C610" s="2" t="s">
        <v>175</v>
      </c>
      <c r="E610" s="18">
        <v>0</v>
      </c>
      <c r="F610" s="18">
        <v>5</v>
      </c>
      <c r="G610" s="18">
        <v>0</v>
      </c>
      <c r="H610" s="18">
        <v>0</v>
      </c>
      <c r="I610" s="18">
        <v>0</v>
      </c>
      <c r="J610" s="18">
        <v>0</v>
      </c>
      <c r="K610" s="18">
        <v>1</v>
      </c>
      <c r="T610" s="3">
        <v>6</v>
      </c>
      <c r="U610" s="3">
        <v>7</v>
      </c>
      <c r="V610" s="3">
        <v>3</v>
      </c>
      <c r="X610" s="2" t="s">
        <v>1294</v>
      </c>
      <c r="Y610" s="18">
        <v>0</v>
      </c>
      <c r="Z610" s="18">
        <v>3</v>
      </c>
      <c r="AA610" s="18">
        <v>1</v>
      </c>
      <c r="AB610" s="18">
        <v>0</v>
      </c>
      <c r="AC610" s="18">
        <v>0</v>
      </c>
      <c r="AD610" s="18">
        <v>1</v>
      </c>
      <c r="AE610" s="18">
        <v>3</v>
      </c>
      <c r="AN610" s="3">
        <v>8</v>
      </c>
      <c r="AO610" s="3">
        <v>7</v>
      </c>
      <c r="AP610" s="3">
        <v>2</v>
      </c>
      <c r="AR610" s="2" t="s">
        <v>1295</v>
      </c>
    </row>
    <row r="611" spans="1:44" ht="12.75" customHeight="1">
      <c r="A611" s="4">
        <f>DATE(80,5,3)</f>
        <v>29344</v>
      </c>
      <c r="C611" s="2" t="s">
        <v>183</v>
      </c>
      <c r="E611" s="18">
        <v>0</v>
      </c>
      <c r="F611" s="18">
        <v>6</v>
      </c>
      <c r="G611" s="18">
        <v>1</v>
      </c>
      <c r="H611" s="18">
        <v>0</v>
      </c>
      <c r="I611" s="18">
        <v>3</v>
      </c>
      <c r="T611" s="3">
        <v>10</v>
      </c>
      <c r="U611" s="3">
        <v>6</v>
      </c>
      <c r="V611" s="3">
        <v>1</v>
      </c>
      <c r="X611" s="2" t="s">
        <v>1296</v>
      </c>
      <c r="Y611" s="18">
        <v>0</v>
      </c>
      <c r="Z611" s="18">
        <v>0</v>
      </c>
      <c r="AA611" s="18">
        <v>0</v>
      </c>
      <c r="AB611" s="18">
        <v>0</v>
      </c>
      <c r="AC611" s="18">
        <v>0</v>
      </c>
      <c r="AN611" s="3">
        <v>0</v>
      </c>
      <c r="AO611" s="3">
        <v>6</v>
      </c>
      <c r="AP611" s="3">
        <v>1</v>
      </c>
      <c r="AR611" s="2" t="s">
        <v>1297</v>
      </c>
    </row>
    <row r="612" spans="1:44" ht="12.75" customHeight="1">
      <c r="A612" s="4">
        <f>DATE(80,5,6)</f>
        <v>29347</v>
      </c>
      <c r="B612" s="2" t="s">
        <v>152</v>
      </c>
      <c r="C612" s="2" t="s">
        <v>382</v>
      </c>
      <c r="E612" s="18">
        <v>2</v>
      </c>
      <c r="F612" s="18">
        <v>5</v>
      </c>
      <c r="G612" s="18">
        <v>3</v>
      </c>
      <c r="H612" s="18">
        <v>3</v>
      </c>
      <c r="I612" s="18">
        <v>0</v>
      </c>
      <c r="T612" s="3">
        <v>13</v>
      </c>
      <c r="U612" s="3">
        <v>12</v>
      </c>
      <c r="V612" s="3">
        <v>1</v>
      </c>
      <c r="X612" s="2" t="s">
        <v>1298</v>
      </c>
      <c r="Y612" s="18">
        <v>0</v>
      </c>
      <c r="Z612" s="18">
        <v>3</v>
      </c>
      <c r="AA612" s="18">
        <v>0</v>
      </c>
      <c r="AB612" s="18">
        <v>0</v>
      </c>
      <c r="AC612" s="18">
        <v>0</v>
      </c>
      <c r="AN612" s="3">
        <v>3</v>
      </c>
      <c r="AO612" s="3">
        <v>3</v>
      </c>
      <c r="AP612" s="3">
        <v>8</v>
      </c>
      <c r="AR612" s="2" t="s">
        <v>1299</v>
      </c>
    </row>
    <row r="613" spans="1:44" ht="12.75" customHeight="1">
      <c r="A613" s="4">
        <f>DATE(80,5,8)</f>
        <v>29349</v>
      </c>
      <c r="C613" s="2" t="s">
        <v>174</v>
      </c>
      <c r="E613" s="18">
        <v>0</v>
      </c>
      <c r="F613" s="18">
        <v>0</v>
      </c>
      <c r="G613" s="18">
        <v>3</v>
      </c>
      <c r="H613" s="18">
        <v>2</v>
      </c>
      <c r="I613" s="18">
        <v>3</v>
      </c>
      <c r="J613" s="18">
        <v>1</v>
      </c>
      <c r="K613" s="18" t="s">
        <v>162</v>
      </c>
      <c r="T613" s="3">
        <v>9</v>
      </c>
      <c r="U613" s="3">
        <v>10</v>
      </c>
      <c r="V613" s="3">
        <v>2</v>
      </c>
      <c r="X613" s="2" t="s">
        <v>1256</v>
      </c>
      <c r="Y613" s="18">
        <v>0</v>
      </c>
      <c r="Z613" s="18">
        <v>0</v>
      </c>
      <c r="AA613" s="18">
        <v>1</v>
      </c>
      <c r="AB613" s="18">
        <v>0</v>
      </c>
      <c r="AC613" s="18">
        <v>0</v>
      </c>
      <c r="AD613" s="18">
        <v>0</v>
      </c>
      <c r="AE613" s="18">
        <v>0</v>
      </c>
      <c r="AN613" s="3">
        <v>1</v>
      </c>
      <c r="AO613" s="3">
        <v>4</v>
      </c>
      <c r="AP613" s="3">
        <v>2</v>
      </c>
      <c r="AR613" s="2" t="s">
        <v>1300</v>
      </c>
    </row>
    <row r="614" spans="1:44" ht="12.75" customHeight="1">
      <c r="A614" s="4">
        <f>DATE(80,5,10)</f>
        <v>29351</v>
      </c>
      <c r="C614" s="2" t="s">
        <v>168</v>
      </c>
      <c r="E614" s="18">
        <v>2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T614" s="3">
        <v>2</v>
      </c>
      <c r="U614" s="3">
        <v>4</v>
      </c>
      <c r="V614" s="3">
        <v>6</v>
      </c>
      <c r="X614" s="2" t="s">
        <v>1301</v>
      </c>
      <c r="Y614" s="18">
        <v>0</v>
      </c>
      <c r="Z614" s="18">
        <v>8</v>
      </c>
      <c r="AA614" s="18">
        <v>1</v>
      </c>
      <c r="AB614" s="18">
        <v>0</v>
      </c>
      <c r="AC614" s="18">
        <v>2</v>
      </c>
      <c r="AD614" s="18">
        <v>7</v>
      </c>
      <c r="AN614" s="3">
        <v>18</v>
      </c>
      <c r="AO614" s="3">
        <v>16</v>
      </c>
      <c r="AP614" s="3">
        <v>0</v>
      </c>
      <c r="AR614" s="2" t="s">
        <v>2373</v>
      </c>
    </row>
    <row r="615" spans="1:44" ht="12.75" customHeight="1">
      <c r="A615" s="4">
        <f>DATE(80,5,10)</f>
        <v>29351</v>
      </c>
      <c r="C615" s="2" t="s">
        <v>290</v>
      </c>
      <c r="E615" s="18">
        <v>1</v>
      </c>
      <c r="F615" s="18">
        <v>0</v>
      </c>
      <c r="G615" s="18">
        <v>0</v>
      </c>
      <c r="H615" s="18">
        <v>0</v>
      </c>
      <c r="I615" s="18">
        <v>1</v>
      </c>
      <c r="J615" s="18">
        <v>0</v>
      </c>
      <c r="K615" s="18">
        <v>1</v>
      </c>
      <c r="T615" s="3">
        <v>3</v>
      </c>
      <c r="U615" s="3">
        <v>5</v>
      </c>
      <c r="V615" s="3">
        <v>4</v>
      </c>
      <c r="X615" s="2" t="s">
        <v>1256</v>
      </c>
      <c r="Y615" s="18">
        <v>0</v>
      </c>
      <c r="Z615" s="18">
        <v>0</v>
      </c>
      <c r="AA615" s="18">
        <v>0</v>
      </c>
      <c r="AB615" s="18">
        <v>0</v>
      </c>
      <c r="AC615" s="18">
        <v>2</v>
      </c>
      <c r="AD615" s="18">
        <v>0</v>
      </c>
      <c r="AE615" s="18">
        <v>0</v>
      </c>
      <c r="AN615" s="3">
        <v>2</v>
      </c>
      <c r="AO615" s="3">
        <v>4</v>
      </c>
      <c r="AP615" s="3">
        <v>0</v>
      </c>
      <c r="AR615" s="2" t="s">
        <v>291</v>
      </c>
    </row>
    <row r="616" spans="1:44" ht="12.75" customHeight="1">
      <c r="A616" s="4">
        <f>DATE(80,5,14)</f>
        <v>29355</v>
      </c>
      <c r="B616" s="2" t="s">
        <v>152</v>
      </c>
      <c r="C616" s="2" t="s">
        <v>183</v>
      </c>
      <c r="E616" s="18">
        <v>1</v>
      </c>
      <c r="F616" s="18">
        <v>0</v>
      </c>
      <c r="G616" s="18">
        <v>1</v>
      </c>
      <c r="H616" s="18">
        <v>0</v>
      </c>
      <c r="I616" s="18">
        <v>2</v>
      </c>
      <c r="J616" s="18">
        <v>0</v>
      </c>
      <c r="K616" s="18">
        <v>2</v>
      </c>
      <c r="T616" s="3">
        <v>6</v>
      </c>
      <c r="U616" s="3">
        <v>8</v>
      </c>
      <c r="V616" s="3">
        <v>0</v>
      </c>
      <c r="X616" s="2" t="s">
        <v>1294</v>
      </c>
      <c r="Y616" s="18">
        <v>0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  <c r="AE616" s="18">
        <v>2</v>
      </c>
      <c r="AN616" s="3">
        <v>2</v>
      </c>
      <c r="AO616" s="3">
        <v>4</v>
      </c>
      <c r="AP616" s="3">
        <v>1</v>
      </c>
      <c r="AR616" s="2" t="s">
        <v>1302</v>
      </c>
    </row>
    <row r="617" spans="1:44" ht="12.75" customHeight="1">
      <c r="A617" s="4">
        <f>DATE(80,5,15)</f>
        <v>29356</v>
      </c>
      <c r="B617" s="2" t="s">
        <v>152</v>
      </c>
      <c r="C617" s="2" t="s">
        <v>236</v>
      </c>
      <c r="E617" s="18">
        <v>0</v>
      </c>
      <c r="F617" s="18">
        <v>0</v>
      </c>
      <c r="G617" s="18">
        <v>1</v>
      </c>
      <c r="H617" s="18">
        <v>0</v>
      </c>
      <c r="I617" s="18">
        <v>0</v>
      </c>
      <c r="J617" s="18">
        <v>3</v>
      </c>
      <c r="K617" s="18">
        <v>0</v>
      </c>
      <c r="T617" s="3">
        <v>4</v>
      </c>
      <c r="U617" s="3">
        <v>8</v>
      </c>
      <c r="V617" s="3">
        <v>0</v>
      </c>
      <c r="X617" s="2" t="s">
        <v>1256</v>
      </c>
      <c r="Y617" s="18">
        <v>0</v>
      </c>
      <c r="Z617" s="18">
        <v>0</v>
      </c>
      <c r="AA617" s="18">
        <v>0</v>
      </c>
      <c r="AB617" s="18">
        <v>1</v>
      </c>
      <c r="AC617" s="18">
        <v>0</v>
      </c>
      <c r="AD617" s="18">
        <v>0</v>
      </c>
      <c r="AE617" s="18">
        <v>0</v>
      </c>
      <c r="AN617" s="3">
        <v>1</v>
      </c>
      <c r="AO617" s="3">
        <v>6</v>
      </c>
      <c r="AP617" s="3">
        <v>0</v>
      </c>
      <c r="AR617" s="2" t="s">
        <v>1303</v>
      </c>
    </row>
    <row r="618" spans="1:44" ht="12.75" customHeight="1">
      <c r="A618" s="4">
        <f>DATE(80,5,17)</f>
        <v>29358</v>
      </c>
      <c r="B618" s="2" t="s">
        <v>152</v>
      </c>
      <c r="C618" s="2" t="s">
        <v>367</v>
      </c>
      <c r="E618" s="18">
        <v>0</v>
      </c>
      <c r="F618" s="18">
        <v>0</v>
      </c>
      <c r="G618" s="18">
        <v>2</v>
      </c>
      <c r="H618" s="18">
        <v>1</v>
      </c>
      <c r="I618" s="18">
        <v>0</v>
      </c>
      <c r="J618" s="18">
        <v>0</v>
      </c>
      <c r="K618" s="18">
        <v>0</v>
      </c>
      <c r="T618" s="3">
        <v>3</v>
      </c>
      <c r="U618" s="3">
        <v>7</v>
      </c>
      <c r="V618" s="3">
        <v>6</v>
      </c>
      <c r="X618" s="2" t="s">
        <v>1304</v>
      </c>
      <c r="Y618" s="18">
        <v>3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1</v>
      </c>
      <c r="AN618" s="3">
        <v>4</v>
      </c>
      <c r="AO618" s="3">
        <v>5</v>
      </c>
      <c r="AP618" s="3">
        <v>3</v>
      </c>
      <c r="AR618" s="2" t="s">
        <v>1305</v>
      </c>
    </row>
    <row r="619" spans="1:44" ht="12.75" customHeight="1">
      <c r="A619" s="4">
        <f>DATE(80,5,19)</f>
        <v>29360</v>
      </c>
      <c r="B619" s="2" t="s">
        <v>152</v>
      </c>
      <c r="C619" s="2" t="s">
        <v>374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T619" s="3">
        <v>0</v>
      </c>
      <c r="U619" s="3">
        <v>1</v>
      </c>
      <c r="V619" s="3">
        <v>1</v>
      </c>
      <c r="X619" s="2" t="s">
        <v>1245</v>
      </c>
      <c r="Y619" s="18">
        <v>0</v>
      </c>
      <c r="Z619" s="18">
        <v>0</v>
      </c>
      <c r="AA619" s="18">
        <v>1</v>
      </c>
      <c r="AB619" s="18">
        <v>0</v>
      </c>
      <c r="AC619" s="18">
        <v>1</v>
      </c>
      <c r="AD619" s="18">
        <v>0</v>
      </c>
      <c r="AE619" s="18" t="s">
        <v>162</v>
      </c>
      <c r="AN619" s="3">
        <v>2</v>
      </c>
      <c r="AO619" s="3">
        <v>5</v>
      </c>
      <c r="AP619" s="3">
        <v>0</v>
      </c>
      <c r="AR619" s="2" t="s">
        <v>1252</v>
      </c>
    </row>
    <row r="620" spans="1:44" ht="12.75" customHeight="1">
      <c r="A620" s="4">
        <f>DATE(80,5,20)</f>
        <v>29361</v>
      </c>
      <c r="C620" s="2" t="s">
        <v>378</v>
      </c>
      <c r="E620" s="18">
        <v>1</v>
      </c>
      <c r="F620" s="18">
        <v>1</v>
      </c>
      <c r="G620" s="18">
        <v>2</v>
      </c>
      <c r="H620" s="18">
        <v>3</v>
      </c>
      <c r="I620" s="18">
        <v>1</v>
      </c>
      <c r="J620" s="18">
        <v>0</v>
      </c>
      <c r="K620" s="18" t="s">
        <v>162</v>
      </c>
      <c r="T620" s="3">
        <v>8</v>
      </c>
      <c r="U620" s="3">
        <v>6</v>
      </c>
      <c r="V620" s="3">
        <v>2</v>
      </c>
      <c r="X620" s="2" t="s">
        <v>1254</v>
      </c>
      <c r="Y620" s="18"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  <c r="AE620" s="18">
        <v>1</v>
      </c>
      <c r="AN620" s="3">
        <v>1</v>
      </c>
      <c r="AO620" s="3">
        <v>5</v>
      </c>
      <c r="AP620" s="3">
        <v>0</v>
      </c>
      <c r="AR620" s="2" t="s">
        <v>1306</v>
      </c>
    </row>
    <row r="621" spans="1:44" ht="12.75" customHeight="1">
      <c r="A621" s="4">
        <f>DATE(80,5,22)</f>
        <v>29363</v>
      </c>
      <c r="B621" s="2" t="s">
        <v>152</v>
      </c>
      <c r="C621" s="2" t="s">
        <v>175</v>
      </c>
      <c r="E621" s="18">
        <v>2</v>
      </c>
      <c r="F621" s="18">
        <v>2</v>
      </c>
      <c r="G621" s="18">
        <v>2</v>
      </c>
      <c r="H621" s="18">
        <v>0</v>
      </c>
      <c r="I621" s="18">
        <v>0</v>
      </c>
      <c r="J621" s="18">
        <v>0</v>
      </c>
      <c r="K621" s="18">
        <v>0</v>
      </c>
      <c r="T621" s="3">
        <v>6</v>
      </c>
      <c r="U621" s="3">
        <v>8</v>
      </c>
      <c r="V621" s="3">
        <v>1</v>
      </c>
      <c r="X621" s="2" t="s">
        <v>1307</v>
      </c>
      <c r="Y621" s="18">
        <v>2</v>
      </c>
      <c r="Z621" s="18">
        <v>1</v>
      </c>
      <c r="AA621" s="18">
        <v>0</v>
      </c>
      <c r="AB621" s="18">
        <v>0</v>
      </c>
      <c r="AC621" s="18">
        <v>7</v>
      </c>
      <c r="AD621" s="18">
        <v>1</v>
      </c>
      <c r="AE621" s="18" t="s">
        <v>162</v>
      </c>
      <c r="AN621" s="3">
        <v>11</v>
      </c>
      <c r="AO621" s="3">
        <v>9</v>
      </c>
      <c r="AP621" s="3">
        <v>0</v>
      </c>
      <c r="AR621" s="2" t="s">
        <v>1308</v>
      </c>
    </row>
    <row r="622" spans="1:44" ht="12.75" customHeight="1">
      <c r="A622" s="4">
        <f>DATE(80,5,28)</f>
        <v>29369</v>
      </c>
      <c r="C622" s="2" t="s">
        <v>183</v>
      </c>
      <c r="D622" s="2" t="s">
        <v>258</v>
      </c>
      <c r="E622" s="18">
        <v>3</v>
      </c>
      <c r="F622" s="18">
        <v>2</v>
      </c>
      <c r="G622" s="18">
        <v>3</v>
      </c>
      <c r="H622" s="18">
        <v>8</v>
      </c>
      <c r="I622" s="18">
        <v>4</v>
      </c>
      <c r="J622" s="18">
        <v>0</v>
      </c>
      <c r="K622" s="18">
        <v>2</v>
      </c>
      <c r="T622" s="3">
        <v>22</v>
      </c>
      <c r="U622" s="3">
        <v>20</v>
      </c>
      <c r="V622" s="3">
        <v>8</v>
      </c>
      <c r="X622" s="2" t="s">
        <v>1307</v>
      </c>
      <c r="Y622" s="18">
        <v>0</v>
      </c>
      <c r="Z622" s="18">
        <v>0</v>
      </c>
      <c r="AA622" s="18">
        <v>1</v>
      </c>
      <c r="AB622" s="18">
        <v>4</v>
      </c>
      <c r="AC622" s="18">
        <v>6</v>
      </c>
      <c r="AD622" s="18">
        <v>6</v>
      </c>
      <c r="AE622" s="18">
        <v>1</v>
      </c>
      <c r="AN622" s="3">
        <v>18</v>
      </c>
      <c r="AO622" s="3">
        <v>13</v>
      </c>
      <c r="AP622" s="3">
        <v>2</v>
      </c>
      <c r="AR622" s="2" t="s">
        <v>1309</v>
      </c>
    </row>
    <row r="623" spans="1:44" ht="12.75" customHeight="1">
      <c r="A623" s="4">
        <f>DATE(80,6,9)</f>
        <v>29381</v>
      </c>
      <c r="B623" s="2" t="s">
        <v>239</v>
      </c>
      <c r="C623" s="2" t="s">
        <v>292</v>
      </c>
      <c r="D623" s="2" t="s">
        <v>260</v>
      </c>
      <c r="E623" s="18">
        <v>0</v>
      </c>
      <c r="F623" s="18">
        <v>0</v>
      </c>
      <c r="G623" s="18">
        <v>0</v>
      </c>
      <c r="H623" s="18">
        <v>0</v>
      </c>
      <c r="I623" s="18">
        <v>1</v>
      </c>
      <c r="J623" s="18">
        <v>0</v>
      </c>
      <c r="K623" s="18">
        <v>0</v>
      </c>
      <c r="T623" s="3">
        <v>1</v>
      </c>
      <c r="U623" s="3">
        <v>4</v>
      </c>
      <c r="V623" s="3">
        <v>2</v>
      </c>
      <c r="X623" s="2" t="s">
        <v>1256</v>
      </c>
      <c r="Y623" s="18">
        <v>0</v>
      </c>
      <c r="Z623" s="18">
        <v>0</v>
      </c>
      <c r="AA623" s="18">
        <v>0</v>
      </c>
      <c r="AB623" s="18">
        <v>2</v>
      </c>
      <c r="AC623" s="18">
        <v>0</v>
      </c>
      <c r="AD623" s="18">
        <v>0</v>
      </c>
      <c r="AE623" s="18">
        <v>0</v>
      </c>
      <c r="AN623" s="3">
        <v>2</v>
      </c>
      <c r="AO623" s="3">
        <v>4</v>
      </c>
      <c r="AP623" s="3">
        <v>0</v>
      </c>
      <c r="AR623" s="2" t="s">
        <v>1310</v>
      </c>
    </row>
    <row r="624" spans="1:44" ht="12.75" customHeight="1">
      <c r="A624" s="4">
        <f>DATE(80,6,10)</f>
        <v>29382</v>
      </c>
      <c r="B624" s="2" t="s">
        <v>239</v>
      </c>
      <c r="C624" s="2" t="s">
        <v>387</v>
      </c>
      <c r="D624" s="2" t="s">
        <v>260</v>
      </c>
      <c r="E624" s="18">
        <v>0</v>
      </c>
      <c r="F624" s="18">
        <v>0</v>
      </c>
      <c r="G624" s="18">
        <v>1</v>
      </c>
      <c r="H624" s="18">
        <v>0</v>
      </c>
      <c r="I624" s="18">
        <v>0</v>
      </c>
      <c r="J624" s="18">
        <v>0</v>
      </c>
      <c r="K624" s="18">
        <v>4</v>
      </c>
      <c r="T624" s="3">
        <v>5</v>
      </c>
      <c r="U624" s="3">
        <v>7</v>
      </c>
      <c r="V624" s="3">
        <v>0</v>
      </c>
      <c r="X624" s="2" t="s">
        <v>1190</v>
      </c>
      <c r="Y624" s="18">
        <v>4</v>
      </c>
      <c r="Z624" s="18">
        <v>0</v>
      </c>
      <c r="AA624" s="18">
        <v>2</v>
      </c>
      <c r="AB624" s="18">
        <v>1</v>
      </c>
      <c r="AC624" s="18">
        <v>0</v>
      </c>
      <c r="AD624" s="18">
        <v>1</v>
      </c>
      <c r="AE624" s="18">
        <v>1</v>
      </c>
      <c r="AN624" s="3">
        <v>9</v>
      </c>
      <c r="AO624" s="3">
        <v>13</v>
      </c>
      <c r="AP624" s="3">
        <v>1</v>
      </c>
      <c r="AR624" s="2" t="s">
        <v>1311</v>
      </c>
    </row>
    <row r="625" ht="12.75" customHeight="1">
      <c r="A625" s="4"/>
    </row>
    <row r="626" spans="1:45" ht="12.75" customHeight="1">
      <c r="A626" s="4">
        <f>DATE(81,3,25)</f>
        <v>29670</v>
      </c>
      <c r="B626" s="2" t="s">
        <v>152</v>
      </c>
      <c r="C626" s="2" t="s">
        <v>1312</v>
      </c>
      <c r="E626" s="18">
        <v>0</v>
      </c>
      <c r="F626" s="18">
        <v>0</v>
      </c>
      <c r="G626" s="18">
        <v>0</v>
      </c>
      <c r="H626" s="18">
        <v>0</v>
      </c>
      <c r="I626" s="18">
        <v>2</v>
      </c>
      <c r="J626" s="18">
        <v>0</v>
      </c>
      <c r="K626" s="18">
        <v>0</v>
      </c>
      <c r="T626" s="3">
        <v>2</v>
      </c>
      <c r="U626" s="3">
        <v>5</v>
      </c>
      <c r="V626" s="3">
        <v>4</v>
      </c>
      <c r="X626" s="2" t="s">
        <v>1313</v>
      </c>
      <c r="Y626" s="18">
        <v>0</v>
      </c>
      <c r="Z626" s="18">
        <v>0</v>
      </c>
      <c r="AA626" s="18">
        <v>0</v>
      </c>
      <c r="AB626" s="18">
        <v>1</v>
      </c>
      <c r="AC626" s="18">
        <v>1</v>
      </c>
      <c r="AD626" s="18">
        <v>2</v>
      </c>
      <c r="AE626" s="18" t="s">
        <v>162</v>
      </c>
      <c r="AN626" s="3">
        <v>4</v>
      </c>
      <c r="AO626" s="3">
        <v>6</v>
      </c>
      <c r="AP626" s="3">
        <v>1</v>
      </c>
      <c r="AR626" s="2" t="s">
        <v>1314</v>
      </c>
      <c r="AS626" s="2" t="s">
        <v>1040</v>
      </c>
    </row>
    <row r="627" spans="1:46" ht="12.75" customHeight="1">
      <c r="A627" s="4">
        <f>DATE(81,3,26)</f>
        <v>29671</v>
      </c>
      <c r="B627" s="2" t="s">
        <v>152</v>
      </c>
      <c r="C627" s="2" t="s">
        <v>1315</v>
      </c>
      <c r="E627" s="18">
        <v>0</v>
      </c>
      <c r="F627" s="18">
        <v>0</v>
      </c>
      <c r="G627" s="18">
        <v>0</v>
      </c>
      <c r="H627" s="18">
        <v>1</v>
      </c>
      <c r="I627" s="18">
        <v>1</v>
      </c>
      <c r="J627" s="18">
        <v>4</v>
      </c>
      <c r="K627" s="18">
        <v>1</v>
      </c>
      <c r="T627" s="3">
        <v>7</v>
      </c>
      <c r="U627" s="3">
        <v>8</v>
      </c>
      <c r="V627" s="3">
        <v>1</v>
      </c>
      <c r="X627" s="2" t="s">
        <v>1218</v>
      </c>
      <c r="Y627" s="18">
        <v>2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  <c r="AE627" s="18">
        <v>0</v>
      </c>
      <c r="AN627" s="3">
        <v>2</v>
      </c>
      <c r="AO627" s="3">
        <v>4</v>
      </c>
      <c r="AP627" s="3">
        <v>3</v>
      </c>
      <c r="AR627" s="2" t="s">
        <v>293</v>
      </c>
      <c r="AS627" s="2" t="s">
        <v>294</v>
      </c>
      <c r="AT627" s="2" t="s">
        <v>194</v>
      </c>
    </row>
    <row r="628" spans="1:44" ht="12.75" customHeight="1">
      <c r="A628" s="4">
        <f>DATE(81,3,27)</f>
        <v>29672</v>
      </c>
      <c r="B628" s="2" t="s">
        <v>152</v>
      </c>
      <c r="C628" s="2" t="s">
        <v>1316</v>
      </c>
      <c r="E628" s="18">
        <v>2</v>
      </c>
      <c r="F628" s="18">
        <v>0</v>
      </c>
      <c r="G628" s="18">
        <v>2</v>
      </c>
      <c r="H628" s="18">
        <v>0</v>
      </c>
      <c r="I628" s="18">
        <v>6</v>
      </c>
      <c r="J628" s="18">
        <v>0</v>
      </c>
      <c r="T628" s="3">
        <v>10</v>
      </c>
      <c r="U628" s="3">
        <v>6</v>
      </c>
      <c r="V628" s="3">
        <v>4</v>
      </c>
      <c r="X628" s="2" t="s">
        <v>1317</v>
      </c>
      <c r="Y628" s="18">
        <v>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  <c r="AN628" s="3">
        <v>0</v>
      </c>
      <c r="AO628" s="3">
        <v>0</v>
      </c>
      <c r="AP628" s="3">
        <v>3</v>
      </c>
      <c r="AR628" s="2" t="s">
        <v>295</v>
      </c>
    </row>
    <row r="629" spans="1:44" ht="12.75" customHeight="1">
      <c r="A629" s="4">
        <f>DATE(81,3,28)</f>
        <v>29673</v>
      </c>
      <c r="B629" s="2" t="s">
        <v>152</v>
      </c>
      <c r="C629" s="2" t="s">
        <v>625</v>
      </c>
      <c r="E629" s="18">
        <v>2</v>
      </c>
      <c r="F629" s="18">
        <v>0</v>
      </c>
      <c r="G629" s="18">
        <v>0</v>
      </c>
      <c r="H629" s="18">
        <v>3</v>
      </c>
      <c r="I629" s="18">
        <v>6</v>
      </c>
      <c r="J629" s="18">
        <v>0</v>
      </c>
      <c r="K629" s="18">
        <v>0</v>
      </c>
      <c r="T629" s="3">
        <v>11</v>
      </c>
      <c r="U629" s="3">
        <v>10</v>
      </c>
      <c r="V629" s="3">
        <v>3</v>
      </c>
      <c r="X629" s="2" t="s">
        <v>1256</v>
      </c>
      <c r="Y629" s="18">
        <v>1</v>
      </c>
      <c r="Z629" s="18">
        <v>0</v>
      </c>
      <c r="AA629" s="18">
        <v>2</v>
      </c>
      <c r="AB629" s="18">
        <v>0</v>
      </c>
      <c r="AC629" s="18">
        <v>0</v>
      </c>
      <c r="AD629" s="18">
        <v>0</v>
      </c>
      <c r="AE629" s="18">
        <v>0</v>
      </c>
      <c r="AN629" s="3">
        <v>3</v>
      </c>
      <c r="AO629" s="3">
        <v>5</v>
      </c>
      <c r="AP629" s="3">
        <v>2</v>
      </c>
      <c r="AR629" s="2" t="s">
        <v>1318</v>
      </c>
    </row>
    <row r="630" spans="1:44" ht="12.75" customHeight="1">
      <c r="A630" s="4">
        <f>DATE(81,3,28)</f>
        <v>29673</v>
      </c>
      <c r="B630" s="2" t="s">
        <v>152</v>
      </c>
      <c r="C630" s="2" t="s">
        <v>1315</v>
      </c>
      <c r="E630" s="18">
        <v>1</v>
      </c>
      <c r="F630" s="18">
        <v>2</v>
      </c>
      <c r="G630" s="18">
        <v>0</v>
      </c>
      <c r="H630" s="18">
        <v>0</v>
      </c>
      <c r="I630" s="18">
        <v>4</v>
      </c>
      <c r="J630" s="18">
        <v>0</v>
      </c>
      <c r="K630" s="18">
        <v>0</v>
      </c>
      <c r="T630" s="3">
        <v>7</v>
      </c>
      <c r="U630" s="3">
        <v>7</v>
      </c>
      <c r="V630" s="3">
        <v>3</v>
      </c>
      <c r="X630" s="2" t="s">
        <v>1319</v>
      </c>
      <c r="Y630" s="18"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1</v>
      </c>
      <c r="AN630" s="3">
        <v>1</v>
      </c>
      <c r="AO630" s="3">
        <v>3</v>
      </c>
      <c r="AP630" s="3">
        <v>3</v>
      </c>
      <c r="AR630" s="2" t="s">
        <v>296</v>
      </c>
    </row>
    <row r="631" spans="1:44" ht="12.75" customHeight="1">
      <c r="A631" s="4">
        <f>DATE(81,4,2)</f>
        <v>29678</v>
      </c>
      <c r="B631" s="2" t="s">
        <v>152</v>
      </c>
      <c r="C631" s="2" t="s">
        <v>297</v>
      </c>
      <c r="E631" s="18">
        <v>1</v>
      </c>
      <c r="F631" s="18">
        <v>0</v>
      </c>
      <c r="G631" s="18">
        <v>1</v>
      </c>
      <c r="H631" s="18">
        <v>0</v>
      </c>
      <c r="I631" s="18">
        <v>3</v>
      </c>
      <c r="J631" s="18">
        <v>1</v>
      </c>
      <c r="K631" s="18">
        <v>0</v>
      </c>
      <c r="T631" s="3">
        <v>6</v>
      </c>
      <c r="U631" s="3">
        <v>8</v>
      </c>
      <c r="V631" s="3">
        <v>3</v>
      </c>
      <c r="X631" s="2" t="s">
        <v>1320</v>
      </c>
      <c r="Y631" s="18">
        <v>0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  <c r="AE631" s="18">
        <v>0</v>
      </c>
      <c r="AN631" s="3">
        <v>0</v>
      </c>
      <c r="AO631" s="3">
        <v>2</v>
      </c>
      <c r="AP631" s="3">
        <v>2</v>
      </c>
      <c r="AR631" s="2" t="s">
        <v>1321</v>
      </c>
    </row>
    <row r="632" spans="1:44" ht="12.75" customHeight="1">
      <c r="A632" s="4">
        <f>DATE(81,4,3)</f>
        <v>29679</v>
      </c>
      <c r="C632" s="2" t="s">
        <v>367</v>
      </c>
      <c r="E632" s="18">
        <v>1</v>
      </c>
      <c r="F632" s="18">
        <v>0</v>
      </c>
      <c r="G632" s="18">
        <v>4</v>
      </c>
      <c r="H632" s="18">
        <v>0</v>
      </c>
      <c r="I632" s="18">
        <v>1</v>
      </c>
      <c r="J632" s="18">
        <v>2</v>
      </c>
      <c r="K632" s="18" t="s">
        <v>162</v>
      </c>
      <c r="T632" s="3">
        <v>8</v>
      </c>
      <c r="U632" s="3">
        <v>7</v>
      </c>
      <c r="V632" s="3">
        <v>0</v>
      </c>
      <c r="X632" s="2" t="s">
        <v>1256</v>
      </c>
      <c r="Y632" s="18">
        <v>1</v>
      </c>
      <c r="Z632" s="18">
        <v>0</v>
      </c>
      <c r="AA632" s="18">
        <v>0</v>
      </c>
      <c r="AB632" s="18">
        <v>0</v>
      </c>
      <c r="AC632" s="18">
        <v>0</v>
      </c>
      <c r="AD632" s="18">
        <v>1</v>
      </c>
      <c r="AE632" s="18">
        <v>0</v>
      </c>
      <c r="AN632" s="3">
        <v>2</v>
      </c>
      <c r="AO632" s="3">
        <v>4</v>
      </c>
      <c r="AP632" s="3">
        <v>1</v>
      </c>
      <c r="AR632" s="2" t="s">
        <v>1322</v>
      </c>
    </row>
    <row r="633" spans="1:44" ht="12.75" customHeight="1">
      <c r="A633" s="4">
        <f>DATE(81,4,6)</f>
        <v>29682</v>
      </c>
      <c r="C633" s="2" t="s">
        <v>297</v>
      </c>
      <c r="E633" s="18">
        <v>0</v>
      </c>
      <c r="F633" s="18">
        <v>2</v>
      </c>
      <c r="G633" s="18">
        <v>0</v>
      </c>
      <c r="H633" s="18">
        <v>0</v>
      </c>
      <c r="I633" s="18">
        <v>4</v>
      </c>
      <c r="J633" s="18">
        <v>1</v>
      </c>
      <c r="K633" s="18" t="s">
        <v>162</v>
      </c>
      <c r="T633" s="3">
        <v>7</v>
      </c>
      <c r="U633" s="3">
        <v>8</v>
      </c>
      <c r="V633" s="3">
        <v>2</v>
      </c>
      <c r="X633" s="2" t="s">
        <v>1323</v>
      </c>
      <c r="Y633" s="18">
        <v>4</v>
      </c>
      <c r="Z633" s="18">
        <v>2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N633" s="3">
        <v>6</v>
      </c>
      <c r="AO633" s="3">
        <v>7</v>
      </c>
      <c r="AP633" s="3">
        <v>3</v>
      </c>
      <c r="AR633" s="2" t="s">
        <v>1324</v>
      </c>
    </row>
    <row r="634" spans="1:44" ht="12.75" customHeight="1">
      <c r="A634" s="4">
        <f>DATE(81,4,7)</f>
        <v>29683</v>
      </c>
      <c r="B634" s="2" t="s">
        <v>152</v>
      </c>
      <c r="C634" s="2" t="s">
        <v>175</v>
      </c>
      <c r="E634" s="18">
        <v>0</v>
      </c>
      <c r="F634" s="18">
        <v>0</v>
      </c>
      <c r="G634" s="18">
        <v>0</v>
      </c>
      <c r="H634" s="18">
        <v>0</v>
      </c>
      <c r="I634" s="18">
        <v>2</v>
      </c>
      <c r="J634" s="18">
        <v>0</v>
      </c>
      <c r="K634" s="18">
        <v>3</v>
      </c>
      <c r="T634" s="3">
        <v>5</v>
      </c>
      <c r="U634" s="3">
        <v>10</v>
      </c>
      <c r="V634" s="3">
        <v>2</v>
      </c>
      <c r="X634" s="2" t="s">
        <v>1256</v>
      </c>
      <c r="Y634" s="18">
        <v>0</v>
      </c>
      <c r="Z634" s="18">
        <v>0</v>
      </c>
      <c r="AA634" s="18">
        <v>2</v>
      </c>
      <c r="AB634" s="18">
        <v>0</v>
      </c>
      <c r="AC634" s="18">
        <v>1</v>
      </c>
      <c r="AD634" s="18">
        <v>0</v>
      </c>
      <c r="AE634" s="18">
        <v>0</v>
      </c>
      <c r="AN634" s="3">
        <v>3</v>
      </c>
      <c r="AO634" s="3">
        <v>8</v>
      </c>
      <c r="AP634" s="3">
        <v>3</v>
      </c>
      <c r="AR634" s="2" t="s">
        <v>1325</v>
      </c>
    </row>
    <row r="635" spans="1:44" ht="12.75" customHeight="1">
      <c r="A635" s="4">
        <f>DATE(81,4,11)</f>
        <v>29687</v>
      </c>
      <c r="C635" s="2" t="s">
        <v>183</v>
      </c>
      <c r="E635" s="18">
        <v>3</v>
      </c>
      <c r="F635" s="18">
        <v>0</v>
      </c>
      <c r="G635" s="18">
        <v>1</v>
      </c>
      <c r="H635" s="18">
        <v>0</v>
      </c>
      <c r="I635" s="18">
        <v>0</v>
      </c>
      <c r="J635" s="18">
        <v>0</v>
      </c>
      <c r="K635" s="18">
        <v>2</v>
      </c>
      <c r="T635" s="3">
        <v>6</v>
      </c>
      <c r="U635" s="3">
        <v>8</v>
      </c>
      <c r="V635" s="3">
        <v>1</v>
      </c>
      <c r="X635" s="2" t="s">
        <v>1256</v>
      </c>
      <c r="Y635" s="18">
        <v>1</v>
      </c>
      <c r="Z635" s="18">
        <v>0</v>
      </c>
      <c r="AA635" s="18">
        <v>1</v>
      </c>
      <c r="AB635" s="18">
        <v>0</v>
      </c>
      <c r="AC635" s="18">
        <v>2</v>
      </c>
      <c r="AD635" s="18">
        <v>3</v>
      </c>
      <c r="AE635" s="18">
        <v>1</v>
      </c>
      <c r="AN635" s="3">
        <v>8</v>
      </c>
      <c r="AO635" s="3">
        <v>8</v>
      </c>
      <c r="AP635" s="3">
        <v>1</v>
      </c>
      <c r="AR635" s="2" t="s">
        <v>1326</v>
      </c>
    </row>
    <row r="636" spans="1:44" ht="12.75" customHeight="1">
      <c r="A636" s="4">
        <f>DATE(81,4,11)</f>
        <v>29687</v>
      </c>
      <c r="C636" s="2" t="s">
        <v>183</v>
      </c>
      <c r="E636" s="18">
        <v>0</v>
      </c>
      <c r="F636" s="18">
        <v>4</v>
      </c>
      <c r="G636" s="18">
        <v>3</v>
      </c>
      <c r="H636" s="18">
        <v>0</v>
      </c>
      <c r="I636" s="18">
        <v>2</v>
      </c>
      <c r="J636" s="18">
        <v>0</v>
      </c>
      <c r="K636" s="18" t="s">
        <v>162</v>
      </c>
      <c r="T636" s="3">
        <v>9</v>
      </c>
      <c r="U636" s="3">
        <v>10</v>
      </c>
      <c r="V636" s="3">
        <v>1</v>
      </c>
      <c r="X636" s="2" t="s">
        <v>1327</v>
      </c>
      <c r="Y636" s="18">
        <v>4</v>
      </c>
      <c r="Z636" s="18">
        <v>0</v>
      </c>
      <c r="AA636" s="18">
        <v>0</v>
      </c>
      <c r="AB636" s="18">
        <v>0</v>
      </c>
      <c r="AC636" s="18">
        <v>3</v>
      </c>
      <c r="AD636" s="18">
        <v>1</v>
      </c>
      <c r="AE636" s="18">
        <v>0</v>
      </c>
      <c r="AN636" s="3">
        <v>8</v>
      </c>
      <c r="AO636" s="3">
        <v>10</v>
      </c>
      <c r="AP636" s="3">
        <v>1</v>
      </c>
      <c r="AR636" s="2" t="s">
        <v>1328</v>
      </c>
    </row>
    <row r="637" spans="1:44" ht="12.75" customHeight="1">
      <c r="A637" s="4">
        <f>DATE(81,4,13)</f>
        <v>29689</v>
      </c>
      <c r="C637" s="2" t="s">
        <v>192</v>
      </c>
      <c r="E637" s="18">
        <v>1</v>
      </c>
      <c r="F637" s="18">
        <v>10</v>
      </c>
      <c r="G637" s="18">
        <v>0</v>
      </c>
      <c r="H637" s="18">
        <v>0</v>
      </c>
      <c r="I637" s="18">
        <v>0</v>
      </c>
      <c r="J637" s="18">
        <v>1</v>
      </c>
      <c r="T637" s="3">
        <v>12</v>
      </c>
      <c r="U637" s="3">
        <v>9</v>
      </c>
      <c r="V637" s="3">
        <v>1</v>
      </c>
      <c r="X637" s="2" t="s">
        <v>1329</v>
      </c>
      <c r="Y637" s="18">
        <v>0</v>
      </c>
      <c r="Z637" s="18">
        <v>0</v>
      </c>
      <c r="AA637" s="18">
        <v>0</v>
      </c>
      <c r="AB637" s="18">
        <v>2</v>
      </c>
      <c r="AC637" s="18">
        <v>0</v>
      </c>
      <c r="AD637" s="18">
        <v>0</v>
      </c>
      <c r="AN637" s="3">
        <v>2</v>
      </c>
      <c r="AO637" s="3">
        <v>5</v>
      </c>
      <c r="AP637" s="3">
        <v>2</v>
      </c>
      <c r="AR637" s="2" t="s">
        <v>1330</v>
      </c>
    </row>
    <row r="638" spans="1:44" ht="12.75" customHeight="1">
      <c r="A638" s="4">
        <f>DATE(81,4,15)</f>
        <v>29691</v>
      </c>
      <c r="C638" s="2" t="s">
        <v>379</v>
      </c>
      <c r="E638" s="18">
        <v>0</v>
      </c>
      <c r="F638" s="18">
        <v>1</v>
      </c>
      <c r="G638" s="18">
        <v>0</v>
      </c>
      <c r="H638" s="18">
        <v>0</v>
      </c>
      <c r="I638" s="18">
        <v>0</v>
      </c>
      <c r="J638" s="18">
        <v>1</v>
      </c>
      <c r="K638" s="18">
        <v>0</v>
      </c>
      <c r="T638" s="3">
        <v>2</v>
      </c>
      <c r="U638" s="3">
        <v>6</v>
      </c>
      <c r="V638" s="3">
        <v>3</v>
      </c>
      <c r="X638" s="2" t="s">
        <v>1331</v>
      </c>
      <c r="Y638" s="18">
        <v>0</v>
      </c>
      <c r="Z638" s="18">
        <v>0</v>
      </c>
      <c r="AA638" s="18">
        <v>3</v>
      </c>
      <c r="AB638" s="18">
        <v>1</v>
      </c>
      <c r="AC638" s="18">
        <v>1</v>
      </c>
      <c r="AD638" s="18">
        <v>0</v>
      </c>
      <c r="AE638" s="18">
        <v>1</v>
      </c>
      <c r="AN638" s="3">
        <v>6</v>
      </c>
      <c r="AO638" s="3">
        <v>6</v>
      </c>
      <c r="AP638" s="3">
        <v>5</v>
      </c>
      <c r="AR638" s="2" t="s">
        <v>1332</v>
      </c>
    </row>
    <row r="639" spans="1:44" ht="12.75" customHeight="1">
      <c r="A639" s="4">
        <f>DATE(81,4,16)</f>
        <v>29692</v>
      </c>
      <c r="B639" s="2" t="s">
        <v>152</v>
      </c>
      <c r="C639" s="2" t="s">
        <v>174</v>
      </c>
      <c r="E639" s="18">
        <v>1</v>
      </c>
      <c r="F639" s="18">
        <v>0</v>
      </c>
      <c r="G639" s="18">
        <v>1</v>
      </c>
      <c r="H639" s="18">
        <v>0</v>
      </c>
      <c r="I639" s="18">
        <v>0</v>
      </c>
      <c r="J639" s="18">
        <v>1</v>
      </c>
      <c r="K639" s="18">
        <v>0</v>
      </c>
      <c r="T639" s="3">
        <v>3</v>
      </c>
      <c r="U639" s="3">
        <v>5</v>
      </c>
      <c r="V639" s="3">
        <v>3</v>
      </c>
      <c r="X639" s="2" t="s">
        <v>1256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N639" s="3">
        <v>0</v>
      </c>
      <c r="AO639" s="3">
        <v>3</v>
      </c>
      <c r="AP639" s="3">
        <v>2</v>
      </c>
      <c r="AR639" s="2" t="s">
        <v>1333</v>
      </c>
    </row>
    <row r="640" spans="1:44" ht="12.75" customHeight="1">
      <c r="A640" s="4">
        <f>DATE(81,4,18)</f>
        <v>29694</v>
      </c>
      <c r="C640" s="2" t="s">
        <v>373</v>
      </c>
      <c r="E640" s="18">
        <v>2</v>
      </c>
      <c r="F640" s="18">
        <v>4</v>
      </c>
      <c r="G640" s="18">
        <v>7</v>
      </c>
      <c r="H640" s="18">
        <v>4</v>
      </c>
      <c r="I640" s="18" t="s">
        <v>158</v>
      </c>
      <c r="T640" s="3">
        <v>17</v>
      </c>
      <c r="U640" s="3">
        <v>10</v>
      </c>
      <c r="V640" s="3">
        <v>1</v>
      </c>
      <c r="X640" s="2" t="s">
        <v>1334</v>
      </c>
      <c r="Y640" s="18">
        <v>1</v>
      </c>
      <c r="Z640" s="18">
        <v>0</v>
      </c>
      <c r="AA640" s="18">
        <v>0</v>
      </c>
      <c r="AB640" s="18">
        <v>0</v>
      </c>
      <c r="AC640" s="18">
        <v>0</v>
      </c>
      <c r="AN640" s="3">
        <v>1</v>
      </c>
      <c r="AO640" s="3">
        <v>3</v>
      </c>
      <c r="AP640" s="3">
        <v>1</v>
      </c>
      <c r="AR640" s="2" t="s">
        <v>1335</v>
      </c>
    </row>
    <row r="641" spans="1:44" ht="12.75" customHeight="1">
      <c r="A641" s="4">
        <f>DATE(81,4,18)</f>
        <v>29694</v>
      </c>
      <c r="C641" s="2" t="s">
        <v>373</v>
      </c>
      <c r="E641" s="18">
        <v>2</v>
      </c>
      <c r="F641" s="18">
        <v>0</v>
      </c>
      <c r="G641" s="18">
        <v>5</v>
      </c>
      <c r="H641" s="18">
        <v>6</v>
      </c>
      <c r="I641" s="18">
        <v>0</v>
      </c>
      <c r="J641" s="18">
        <v>1</v>
      </c>
      <c r="K641" s="18" t="s">
        <v>162</v>
      </c>
      <c r="T641" s="3">
        <v>14</v>
      </c>
      <c r="U641" s="3">
        <v>14</v>
      </c>
      <c r="V641" s="3">
        <v>4</v>
      </c>
      <c r="X641" s="2" t="s">
        <v>1336</v>
      </c>
      <c r="Y641" s="18">
        <v>5</v>
      </c>
      <c r="Z641" s="18">
        <v>0</v>
      </c>
      <c r="AA641" s="18">
        <v>0</v>
      </c>
      <c r="AB641" s="18">
        <v>0</v>
      </c>
      <c r="AC641" s="18">
        <v>0</v>
      </c>
      <c r="AD641" s="18">
        <v>3</v>
      </c>
      <c r="AE641" s="18">
        <v>3</v>
      </c>
      <c r="AN641" s="3">
        <v>11</v>
      </c>
      <c r="AO641" s="3">
        <v>9</v>
      </c>
      <c r="AP641" s="3">
        <v>2</v>
      </c>
      <c r="AR641" s="2" t="s">
        <v>298</v>
      </c>
    </row>
    <row r="642" spans="1:44" ht="12.75" customHeight="1">
      <c r="A642" s="4">
        <f>DATE(81,4,20)</f>
        <v>29696</v>
      </c>
      <c r="B642" s="2" t="s">
        <v>152</v>
      </c>
      <c r="C642" s="2" t="s">
        <v>169</v>
      </c>
      <c r="E642" s="18">
        <v>1</v>
      </c>
      <c r="F642" s="18">
        <v>0</v>
      </c>
      <c r="G642" s="18">
        <v>2</v>
      </c>
      <c r="H642" s="18">
        <v>0</v>
      </c>
      <c r="I642" s="18">
        <v>1</v>
      </c>
      <c r="J642" s="18">
        <v>1</v>
      </c>
      <c r="K642" s="18">
        <v>0</v>
      </c>
      <c r="T642" s="3">
        <v>5</v>
      </c>
      <c r="U642" s="3">
        <v>4</v>
      </c>
      <c r="V642" s="3">
        <v>1</v>
      </c>
      <c r="X642" s="2" t="s">
        <v>1320</v>
      </c>
      <c r="Y642" s="18"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1</v>
      </c>
      <c r="AE642" s="18">
        <v>0</v>
      </c>
      <c r="AN642" s="3">
        <v>1</v>
      </c>
      <c r="AO642" s="3">
        <v>1</v>
      </c>
      <c r="AP642" s="3">
        <v>6</v>
      </c>
      <c r="AR642" s="2" t="s">
        <v>1337</v>
      </c>
    </row>
    <row r="643" spans="1:44" ht="12.75" customHeight="1">
      <c r="A643" s="4">
        <f>DATE(81,4,21)</f>
        <v>29697</v>
      </c>
      <c r="C643" s="2" t="s">
        <v>374</v>
      </c>
      <c r="E643" s="18">
        <v>0</v>
      </c>
      <c r="F643" s="18">
        <v>3</v>
      </c>
      <c r="G643" s="18">
        <v>4</v>
      </c>
      <c r="H643" s="18">
        <v>2</v>
      </c>
      <c r="I643" s="18">
        <v>2</v>
      </c>
      <c r="J643" s="18">
        <v>0</v>
      </c>
      <c r="K643" s="18" t="s">
        <v>162</v>
      </c>
      <c r="T643" s="3">
        <v>11</v>
      </c>
      <c r="U643" s="3">
        <v>8</v>
      </c>
      <c r="V643" s="3">
        <v>2</v>
      </c>
      <c r="X643" s="2" t="s">
        <v>1256</v>
      </c>
      <c r="Y643" s="18">
        <v>0</v>
      </c>
      <c r="Z643" s="18">
        <v>0</v>
      </c>
      <c r="AA643" s="18">
        <v>0</v>
      </c>
      <c r="AB643" s="18">
        <v>5</v>
      </c>
      <c r="AC643" s="18">
        <v>0</v>
      </c>
      <c r="AD643" s="18">
        <v>0</v>
      </c>
      <c r="AE643" s="18">
        <v>1</v>
      </c>
      <c r="AN643" s="3">
        <v>6</v>
      </c>
      <c r="AO643" s="3">
        <v>8</v>
      </c>
      <c r="AP643" s="3">
        <v>5</v>
      </c>
      <c r="AR643" s="2" t="s">
        <v>1338</v>
      </c>
    </row>
    <row r="644" spans="1:44" ht="12.75" customHeight="1">
      <c r="A644" s="4">
        <f>DATE(81,4,22)</f>
        <v>29698</v>
      </c>
      <c r="C644" s="2" t="s">
        <v>382</v>
      </c>
      <c r="E644" s="18">
        <v>4</v>
      </c>
      <c r="F644" s="18">
        <v>0</v>
      </c>
      <c r="G644" s="18">
        <v>1</v>
      </c>
      <c r="H644" s="18">
        <v>0</v>
      </c>
      <c r="I644" s="18">
        <v>0</v>
      </c>
      <c r="J644" s="18">
        <v>0</v>
      </c>
      <c r="K644" s="18" t="s">
        <v>162</v>
      </c>
      <c r="T644" s="3">
        <v>5</v>
      </c>
      <c r="U644" s="3">
        <v>7</v>
      </c>
      <c r="V644" s="3">
        <v>5</v>
      </c>
      <c r="X644" s="2" t="s">
        <v>1339</v>
      </c>
      <c r="Y644" s="18">
        <v>2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  <c r="AE644" s="18">
        <v>1</v>
      </c>
      <c r="AN644" s="3">
        <v>3</v>
      </c>
      <c r="AO644" s="3">
        <v>5</v>
      </c>
      <c r="AP644" s="3">
        <v>3</v>
      </c>
      <c r="AR644" s="2" t="s">
        <v>1340</v>
      </c>
    </row>
    <row r="645" spans="1:44" ht="12.75" customHeight="1">
      <c r="A645" s="4">
        <f>DATE(81,4,27)</f>
        <v>29703</v>
      </c>
      <c r="C645" s="2" t="s">
        <v>236</v>
      </c>
      <c r="E645" s="18">
        <v>1</v>
      </c>
      <c r="F645" s="18">
        <v>3</v>
      </c>
      <c r="G645" s="18">
        <v>2</v>
      </c>
      <c r="H645" s="18">
        <v>2</v>
      </c>
      <c r="I645" s="18">
        <v>3</v>
      </c>
      <c r="J645" s="18">
        <v>2</v>
      </c>
      <c r="K645" s="18" t="s">
        <v>162</v>
      </c>
      <c r="T645" s="3">
        <v>13</v>
      </c>
      <c r="U645" s="3">
        <v>10</v>
      </c>
      <c r="V645" s="3">
        <v>1</v>
      </c>
      <c r="X645" s="2" t="s">
        <v>1341</v>
      </c>
      <c r="Y645" s="18">
        <v>0</v>
      </c>
      <c r="Z645" s="18">
        <v>0</v>
      </c>
      <c r="AA645" s="18">
        <v>2</v>
      </c>
      <c r="AB645" s="18">
        <v>2</v>
      </c>
      <c r="AC645" s="18">
        <v>0</v>
      </c>
      <c r="AD645" s="18">
        <v>0</v>
      </c>
      <c r="AE645" s="18">
        <v>0</v>
      </c>
      <c r="AN645" s="3">
        <v>4</v>
      </c>
      <c r="AO645" s="3">
        <v>4</v>
      </c>
      <c r="AP645" s="3">
        <v>4</v>
      </c>
      <c r="AR645" s="2" t="s">
        <v>1342</v>
      </c>
    </row>
    <row r="646" spans="1:44" ht="12.75" customHeight="1">
      <c r="A646" s="4">
        <f>DATE(81,4,30)</f>
        <v>29706</v>
      </c>
      <c r="C646" s="2" t="s">
        <v>175</v>
      </c>
      <c r="E646" s="18">
        <v>0</v>
      </c>
      <c r="F646" s="18">
        <v>0</v>
      </c>
      <c r="G646" s="18">
        <v>0</v>
      </c>
      <c r="H646" s="18">
        <v>1</v>
      </c>
      <c r="I646" s="18">
        <v>0</v>
      </c>
      <c r="J646" s="18">
        <v>0</v>
      </c>
      <c r="K646" s="18">
        <v>0</v>
      </c>
      <c r="T646" s="3">
        <v>1</v>
      </c>
      <c r="U646" s="3">
        <v>4</v>
      </c>
      <c r="V646" s="3">
        <v>1</v>
      </c>
      <c r="X646" s="2" t="s">
        <v>1256</v>
      </c>
      <c r="Y646" s="18">
        <v>0</v>
      </c>
      <c r="Z646" s="18">
        <v>0</v>
      </c>
      <c r="AA646" s="18">
        <v>0</v>
      </c>
      <c r="AB646" s="18">
        <v>0</v>
      </c>
      <c r="AC646" s="18">
        <v>1</v>
      </c>
      <c r="AD646" s="18">
        <v>0</v>
      </c>
      <c r="AE646" s="18">
        <v>2</v>
      </c>
      <c r="AN646" s="3">
        <v>3</v>
      </c>
      <c r="AO646" s="3">
        <v>5</v>
      </c>
      <c r="AP646" s="3">
        <v>0</v>
      </c>
      <c r="AR646" s="2" t="s">
        <v>1343</v>
      </c>
    </row>
    <row r="647" spans="1:44" ht="12.75" customHeight="1">
      <c r="A647" s="4">
        <f>DATE(81,5,1)</f>
        <v>29707</v>
      </c>
      <c r="B647" s="2" t="s">
        <v>152</v>
      </c>
      <c r="C647" s="2" t="s">
        <v>378</v>
      </c>
      <c r="E647" s="18">
        <v>0</v>
      </c>
      <c r="F647" s="18">
        <v>13</v>
      </c>
      <c r="G647" s="18">
        <v>8</v>
      </c>
      <c r="H647" s="18">
        <v>6</v>
      </c>
      <c r="I647" s="18" t="s">
        <v>158</v>
      </c>
      <c r="T647" s="3">
        <v>27</v>
      </c>
      <c r="U647" s="3">
        <v>30</v>
      </c>
      <c r="V647" s="3">
        <v>0</v>
      </c>
      <c r="X647" s="2" t="s">
        <v>1247</v>
      </c>
      <c r="Y647" s="18">
        <v>0</v>
      </c>
      <c r="Z647" s="18">
        <v>0</v>
      </c>
      <c r="AA647" s="18">
        <v>0</v>
      </c>
      <c r="AB647" s="18">
        <v>2</v>
      </c>
      <c r="AC647" s="18">
        <v>0</v>
      </c>
      <c r="AN647" s="3">
        <v>2</v>
      </c>
      <c r="AO647" s="3">
        <v>3</v>
      </c>
      <c r="AP647" s="3">
        <v>6</v>
      </c>
      <c r="AR647" s="2" t="s">
        <v>1344</v>
      </c>
    </row>
    <row r="648" spans="1:44" ht="12.75" customHeight="1">
      <c r="A648" s="4">
        <f>DATE(81,5,4)</f>
        <v>29710</v>
      </c>
      <c r="C648" s="2" t="s">
        <v>279</v>
      </c>
      <c r="E648" s="18">
        <v>1</v>
      </c>
      <c r="F648" s="18">
        <v>2</v>
      </c>
      <c r="G648" s="18">
        <v>0</v>
      </c>
      <c r="H648" s="18">
        <v>2</v>
      </c>
      <c r="I648" s="18">
        <v>1</v>
      </c>
      <c r="J648" s="18">
        <v>2</v>
      </c>
      <c r="K648" s="18" t="s">
        <v>162</v>
      </c>
      <c r="T648" s="3">
        <v>8</v>
      </c>
      <c r="U648" s="3">
        <v>10</v>
      </c>
      <c r="V648" s="3">
        <v>4</v>
      </c>
      <c r="X648" s="2" t="s">
        <v>1339</v>
      </c>
      <c r="Y648" s="18">
        <v>1</v>
      </c>
      <c r="Z648" s="18">
        <v>2</v>
      </c>
      <c r="AA648" s="18">
        <v>0</v>
      </c>
      <c r="AB648" s="18">
        <v>0</v>
      </c>
      <c r="AC648" s="18">
        <v>2</v>
      </c>
      <c r="AD648" s="18">
        <v>0</v>
      </c>
      <c r="AE648" s="18">
        <v>0</v>
      </c>
      <c r="AN648" s="3">
        <v>5</v>
      </c>
      <c r="AO648" s="3">
        <v>4</v>
      </c>
      <c r="AP648" s="3">
        <v>3</v>
      </c>
      <c r="AR648" s="2" t="s">
        <v>299</v>
      </c>
    </row>
    <row r="649" spans="1:44" ht="12.75" customHeight="1">
      <c r="A649" s="4">
        <f>DATE(81,5,5)</f>
        <v>29711</v>
      </c>
      <c r="B649" s="2" t="s">
        <v>152</v>
      </c>
      <c r="C649" s="2" t="s">
        <v>379</v>
      </c>
      <c r="E649" s="18">
        <v>4</v>
      </c>
      <c r="F649" s="18">
        <v>5</v>
      </c>
      <c r="G649" s="18">
        <v>6</v>
      </c>
      <c r="H649" s="18">
        <v>0</v>
      </c>
      <c r="I649" s="18">
        <v>7</v>
      </c>
      <c r="T649" s="3">
        <v>22</v>
      </c>
      <c r="U649" s="3">
        <v>20</v>
      </c>
      <c r="V649" s="3">
        <v>1</v>
      </c>
      <c r="X649" s="2" t="s">
        <v>1296</v>
      </c>
      <c r="Y649" s="18">
        <v>1</v>
      </c>
      <c r="Z649" s="18">
        <v>0</v>
      </c>
      <c r="AA649" s="18">
        <v>0</v>
      </c>
      <c r="AB649" s="18">
        <v>2</v>
      </c>
      <c r="AC649" s="18">
        <v>0</v>
      </c>
      <c r="AN649" s="3">
        <v>3</v>
      </c>
      <c r="AO649" s="3">
        <v>2</v>
      </c>
      <c r="AP649" s="3">
        <v>4</v>
      </c>
      <c r="AR649" s="2" t="s">
        <v>1345</v>
      </c>
    </row>
    <row r="650" spans="1:44" ht="12.75" customHeight="1">
      <c r="A650" s="4">
        <f>DATE(81,5,6)</f>
        <v>29712</v>
      </c>
      <c r="C650" s="2" t="s">
        <v>169</v>
      </c>
      <c r="E650" s="18">
        <v>1</v>
      </c>
      <c r="F650" s="18">
        <v>4</v>
      </c>
      <c r="G650" s="18">
        <v>8</v>
      </c>
      <c r="H650" s="18">
        <v>4</v>
      </c>
      <c r="I650" s="18">
        <v>0</v>
      </c>
      <c r="J650" s="18">
        <v>3</v>
      </c>
      <c r="K650" s="18" t="s">
        <v>162</v>
      </c>
      <c r="T650" s="3">
        <v>20</v>
      </c>
      <c r="U650" s="3">
        <v>13</v>
      </c>
      <c r="V650" s="3">
        <v>5</v>
      </c>
      <c r="X650" s="2" t="s">
        <v>1346</v>
      </c>
      <c r="Y650" s="18">
        <v>9</v>
      </c>
      <c r="Z650" s="18">
        <v>0</v>
      </c>
      <c r="AA650" s="18">
        <v>0</v>
      </c>
      <c r="AB650" s="18">
        <v>3</v>
      </c>
      <c r="AC650" s="18">
        <v>0</v>
      </c>
      <c r="AD650" s="18">
        <v>0</v>
      </c>
      <c r="AE650" s="18">
        <v>0</v>
      </c>
      <c r="AN650" s="3">
        <v>12</v>
      </c>
      <c r="AO650" s="3">
        <v>8</v>
      </c>
      <c r="AP650" s="3">
        <v>4</v>
      </c>
      <c r="AR650" s="2" t="s">
        <v>300</v>
      </c>
    </row>
    <row r="651" spans="1:44" ht="12.75" customHeight="1">
      <c r="A651" s="4">
        <f>DATE(81,5,7)</f>
        <v>29713</v>
      </c>
      <c r="B651" s="2" t="s">
        <v>152</v>
      </c>
      <c r="C651" s="2" t="s">
        <v>382</v>
      </c>
      <c r="E651" s="18">
        <v>2</v>
      </c>
      <c r="F651" s="18">
        <v>3</v>
      </c>
      <c r="G651" s="18">
        <v>1</v>
      </c>
      <c r="H651" s="18">
        <v>0</v>
      </c>
      <c r="I651" s="18">
        <v>1</v>
      </c>
      <c r="J651" s="18">
        <v>0</v>
      </c>
      <c r="K651" s="18">
        <v>1</v>
      </c>
      <c r="T651" s="3">
        <v>8</v>
      </c>
      <c r="U651" s="3">
        <v>11</v>
      </c>
      <c r="V651" s="3">
        <v>2</v>
      </c>
      <c r="X651" s="2" t="s">
        <v>1320</v>
      </c>
      <c r="Y651" s="18">
        <v>0</v>
      </c>
      <c r="Z651" s="18">
        <v>1</v>
      </c>
      <c r="AA651" s="18">
        <v>0</v>
      </c>
      <c r="AB651" s="18">
        <v>0</v>
      </c>
      <c r="AC651" s="18">
        <v>0</v>
      </c>
      <c r="AD651" s="18">
        <v>1</v>
      </c>
      <c r="AE651" s="18">
        <v>0</v>
      </c>
      <c r="AN651" s="3">
        <v>2</v>
      </c>
      <c r="AO651" s="3">
        <v>3</v>
      </c>
      <c r="AP651" s="3">
        <v>2</v>
      </c>
      <c r="AR651" s="2" t="s">
        <v>1347</v>
      </c>
    </row>
    <row r="652" spans="1:44" ht="12.75" customHeight="1">
      <c r="A652" s="4">
        <f>DATE(81,5,9)</f>
        <v>29715</v>
      </c>
      <c r="B652" s="2" t="s">
        <v>152</v>
      </c>
      <c r="C652" s="2" t="s">
        <v>183</v>
      </c>
      <c r="E652" s="18">
        <v>0</v>
      </c>
      <c r="F652" s="18">
        <v>1</v>
      </c>
      <c r="G652" s="18">
        <v>1</v>
      </c>
      <c r="H652" s="18">
        <v>0</v>
      </c>
      <c r="I652" s="18">
        <v>1</v>
      </c>
      <c r="J652" s="18">
        <v>3</v>
      </c>
      <c r="K652" s="18">
        <v>0</v>
      </c>
      <c r="T652" s="3">
        <v>6</v>
      </c>
      <c r="U652" s="3">
        <v>8</v>
      </c>
      <c r="V652" s="3">
        <v>0</v>
      </c>
      <c r="X652" s="2" t="s">
        <v>1245</v>
      </c>
      <c r="Y652" s="18">
        <v>2</v>
      </c>
      <c r="Z652" s="18">
        <v>0</v>
      </c>
      <c r="AA652" s="18">
        <v>0</v>
      </c>
      <c r="AB652" s="18">
        <v>0</v>
      </c>
      <c r="AC652" s="18">
        <v>3</v>
      </c>
      <c r="AD652" s="18">
        <v>2</v>
      </c>
      <c r="AE652" s="18" t="s">
        <v>162</v>
      </c>
      <c r="AN652" s="3">
        <v>7</v>
      </c>
      <c r="AO652" s="3">
        <v>10</v>
      </c>
      <c r="AP652" s="3">
        <v>2</v>
      </c>
      <c r="AR652" s="2" t="s">
        <v>1348</v>
      </c>
    </row>
    <row r="653" spans="1:44" ht="12.75" customHeight="1">
      <c r="A653" s="4">
        <f>DATE(81,5,9)</f>
        <v>29715</v>
      </c>
      <c r="B653" s="2" t="s">
        <v>152</v>
      </c>
      <c r="C653" s="2" t="s">
        <v>183</v>
      </c>
      <c r="E653" s="18">
        <v>3</v>
      </c>
      <c r="F653" s="18">
        <v>0</v>
      </c>
      <c r="G653" s="18">
        <v>0</v>
      </c>
      <c r="H653" s="18">
        <v>0</v>
      </c>
      <c r="I653" s="18">
        <v>7</v>
      </c>
      <c r="J653" s="18">
        <v>0</v>
      </c>
      <c r="K653" s="18">
        <v>1</v>
      </c>
      <c r="T653" s="3">
        <v>11</v>
      </c>
      <c r="U653" s="3">
        <v>8</v>
      </c>
      <c r="V653" s="3">
        <v>4</v>
      </c>
      <c r="X653" s="2" t="s">
        <v>1339</v>
      </c>
      <c r="Y653" s="18">
        <v>2</v>
      </c>
      <c r="Z653" s="18">
        <v>0</v>
      </c>
      <c r="AA653" s="18">
        <v>1</v>
      </c>
      <c r="AB653" s="18">
        <v>0</v>
      </c>
      <c r="AC653" s="18">
        <v>0</v>
      </c>
      <c r="AD653" s="18">
        <v>0</v>
      </c>
      <c r="AE653" s="18">
        <v>1</v>
      </c>
      <c r="AN653" s="3">
        <v>4</v>
      </c>
      <c r="AO653" s="3">
        <v>6</v>
      </c>
      <c r="AP653" s="3">
        <v>2</v>
      </c>
      <c r="AR653" s="2" t="s">
        <v>1349</v>
      </c>
    </row>
    <row r="654" spans="1:44" ht="12.75" customHeight="1">
      <c r="A654" s="4">
        <f>DATE(81,5,13)</f>
        <v>29719</v>
      </c>
      <c r="C654" s="2" t="s">
        <v>174</v>
      </c>
      <c r="E654" s="18">
        <v>1</v>
      </c>
      <c r="F654" s="18">
        <v>0</v>
      </c>
      <c r="G654" s="18">
        <v>3</v>
      </c>
      <c r="H654" s="18">
        <v>6</v>
      </c>
      <c r="I654" s="18">
        <v>4</v>
      </c>
      <c r="J654" s="18">
        <v>0</v>
      </c>
      <c r="K654" s="18" t="s">
        <v>162</v>
      </c>
      <c r="T654" s="3">
        <v>14</v>
      </c>
      <c r="U654" s="3">
        <v>11</v>
      </c>
      <c r="V654" s="3">
        <v>3</v>
      </c>
      <c r="X654" s="2" t="s">
        <v>1256</v>
      </c>
      <c r="Y654" s="18">
        <v>2</v>
      </c>
      <c r="Z654" s="18">
        <v>0</v>
      </c>
      <c r="AA654" s="18">
        <v>2</v>
      </c>
      <c r="AB654" s="18">
        <v>0</v>
      </c>
      <c r="AC654" s="18">
        <v>2</v>
      </c>
      <c r="AD654" s="18">
        <v>2</v>
      </c>
      <c r="AE654" s="18">
        <v>0</v>
      </c>
      <c r="AN654" s="3">
        <v>8</v>
      </c>
      <c r="AO654" s="3">
        <v>9</v>
      </c>
      <c r="AP654" s="3">
        <v>3</v>
      </c>
      <c r="AR654" s="2" t="s">
        <v>1350</v>
      </c>
    </row>
    <row r="655" spans="1:44" ht="12.75" customHeight="1">
      <c r="A655" s="4">
        <f>DATE(81,5,14)</f>
        <v>29720</v>
      </c>
      <c r="B655" s="2" t="s">
        <v>152</v>
      </c>
      <c r="C655" s="2" t="s">
        <v>374</v>
      </c>
      <c r="E655" s="18">
        <v>0</v>
      </c>
      <c r="F655" s="18">
        <v>0</v>
      </c>
      <c r="G655" s="18">
        <v>1</v>
      </c>
      <c r="H655" s="18">
        <v>1</v>
      </c>
      <c r="I655" s="18">
        <v>0</v>
      </c>
      <c r="J655" s="18">
        <v>4</v>
      </c>
      <c r="K655" s="18">
        <v>0</v>
      </c>
      <c r="T655" s="3">
        <v>6</v>
      </c>
      <c r="U655" s="3">
        <v>12</v>
      </c>
      <c r="V655" s="3">
        <v>1</v>
      </c>
      <c r="X655" s="2" t="s">
        <v>1320</v>
      </c>
      <c r="Y655" s="18">
        <v>1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  <c r="AE655" s="18">
        <v>0</v>
      </c>
      <c r="AN655" s="3">
        <v>1</v>
      </c>
      <c r="AO655" s="3">
        <v>1</v>
      </c>
      <c r="AP655" s="3">
        <v>0</v>
      </c>
      <c r="AR655" s="2" t="s">
        <v>1351</v>
      </c>
    </row>
    <row r="656" spans="1:44" ht="12.75" customHeight="1">
      <c r="A656" s="4">
        <f>DATE(81,5,19)</f>
        <v>29725</v>
      </c>
      <c r="B656" s="2" t="s">
        <v>152</v>
      </c>
      <c r="C656" s="2" t="s">
        <v>236</v>
      </c>
      <c r="E656" s="18">
        <v>2</v>
      </c>
      <c r="F656" s="18">
        <v>1</v>
      </c>
      <c r="G656" s="18">
        <v>0</v>
      </c>
      <c r="H656" s="18">
        <v>2</v>
      </c>
      <c r="I656" s="18">
        <v>0</v>
      </c>
      <c r="J656" s="18">
        <v>0</v>
      </c>
      <c r="K656" s="18">
        <v>0</v>
      </c>
      <c r="L656" s="18">
        <v>0</v>
      </c>
      <c r="T656" s="3">
        <v>5</v>
      </c>
      <c r="U656" s="3">
        <v>4</v>
      </c>
      <c r="V656" s="3">
        <v>4</v>
      </c>
      <c r="X656" s="2" t="s">
        <v>1339</v>
      </c>
      <c r="Y656" s="18">
        <v>2</v>
      </c>
      <c r="Z656" s="18">
        <v>1</v>
      </c>
      <c r="AA656" s="18">
        <v>0</v>
      </c>
      <c r="AB656" s="18">
        <v>2</v>
      </c>
      <c r="AC656" s="18">
        <v>0</v>
      </c>
      <c r="AD656" s="18">
        <v>0</v>
      </c>
      <c r="AE656" s="18">
        <v>0</v>
      </c>
      <c r="AF656" s="18">
        <v>1</v>
      </c>
      <c r="AN656" s="3">
        <v>6</v>
      </c>
      <c r="AO656" s="3">
        <v>5</v>
      </c>
      <c r="AP656" s="3">
        <v>3</v>
      </c>
      <c r="AR656" s="2" t="s">
        <v>1352</v>
      </c>
    </row>
    <row r="657" spans="1:44" ht="12.75" customHeight="1">
      <c r="A657" s="4">
        <f>DATE(81,5,20)</f>
        <v>29726</v>
      </c>
      <c r="B657" s="2" t="s">
        <v>239</v>
      </c>
      <c r="C657" s="2" t="s">
        <v>367</v>
      </c>
      <c r="D657" s="2" t="s">
        <v>258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T657" s="3">
        <v>0</v>
      </c>
      <c r="U657" s="3">
        <v>3</v>
      </c>
      <c r="V657" s="3">
        <v>4</v>
      </c>
      <c r="X657" s="2" t="s">
        <v>1341</v>
      </c>
      <c r="Y657" s="18">
        <v>0</v>
      </c>
      <c r="Z657" s="18">
        <v>0</v>
      </c>
      <c r="AA657" s="18">
        <v>1</v>
      </c>
      <c r="AB657" s="18">
        <v>1</v>
      </c>
      <c r="AC657" s="18">
        <v>1</v>
      </c>
      <c r="AD657" s="18">
        <v>0</v>
      </c>
      <c r="AE657" s="18">
        <v>0</v>
      </c>
      <c r="AN657" s="3">
        <v>3</v>
      </c>
      <c r="AO657" s="3">
        <v>3</v>
      </c>
      <c r="AP657" s="3">
        <v>0</v>
      </c>
      <c r="AR657" s="2" t="s">
        <v>1353</v>
      </c>
    </row>
    <row r="658" spans="1:44" ht="12.75" customHeight="1">
      <c r="A658" s="4">
        <f>DATE(81,5,21)</f>
        <v>29727</v>
      </c>
      <c r="C658" s="2" t="s">
        <v>378</v>
      </c>
      <c r="E658" s="18">
        <v>3</v>
      </c>
      <c r="F658" s="18">
        <v>0</v>
      </c>
      <c r="G658" s="18">
        <v>1</v>
      </c>
      <c r="H658" s="18">
        <v>11</v>
      </c>
      <c r="I658" s="18" t="s">
        <v>158</v>
      </c>
      <c r="T658" s="3">
        <v>15</v>
      </c>
      <c r="U658" s="3">
        <v>15</v>
      </c>
      <c r="V658" s="3">
        <v>4</v>
      </c>
      <c r="X658" s="2" t="s">
        <v>1296</v>
      </c>
      <c r="Y658" s="18">
        <v>1</v>
      </c>
      <c r="Z658" s="18">
        <v>0</v>
      </c>
      <c r="AA658" s="18">
        <v>2</v>
      </c>
      <c r="AB658" s="18">
        <v>0</v>
      </c>
      <c r="AC658" s="18">
        <v>0</v>
      </c>
      <c r="AN658" s="3">
        <v>3</v>
      </c>
      <c r="AO658" s="3">
        <v>5</v>
      </c>
      <c r="AP658" s="3">
        <v>3</v>
      </c>
      <c r="AR658" s="2" t="s">
        <v>1354</v>
      </c>
    </row>
    <row r="659" ht="12.75" customHeight="1">
      <c r="A659" s="4"/>
    </row>
    <row r="660" spans="1:45" ht="12.75" customHeight="1">
      <c r="A660" s="4">
        <f>DATE(82,3,25)</f>
        <v>30035</v>
      </c>
      <c r="B660" s="2" t="s">
        <v>152</v>
      </c>
      <c r="C660" s="2" t="s">
        <v>1355</v>
      </c>
      <c r="E660" s="18">
        <v>0</v>
      </c>
      <c r="F660" s="18">
        <v>0</v>
      </c>
      <c r="G660" s="18">
        <v>1</v>
      </c>
      <c r="H660" s="18">
        <v>2</v>
      </c>
      <c r="I660" s="18">
        <v>7</v>
      </c>
      <c r="J660" s="18">
        <v>0</v>
      </c>
      <c r="K660" s="18">
        <v>0</v>
      </c>
      <c r="T660" s="3">
        <v>10</v>
      </c>
      <c r="U660" s="3">
        <v>10</v>
      </c>
      <c r="V660" s="3">
        <v>4</v>
      </c>
      <c r="X660" s="2" t="s">
        <v>1356</v>
      </c>
      <c r="Y660" s="18">
        <v>0</v>
      </c>
      <c r="Z660" s="18">
        <v>1</v>
      </c>
      <c r="AA660" s="18">
        <v>0</v>
      </c>
      <c r="AB660" s="18">
        <v>2</v>
      </c>
      <c r="AC660" s="18">
        <v>0</v>
      </c>
      <c r="AD660" s="18">
        <v>0</v>
      </c>
      <c r="AE660" s="18">
        <v>0</v>
      </c>
      <c r="AN660" s="3">
        <v>3</v>
      </c>
      <c r="AO660" s="3">
        <v>5</v>
      </c>
      <c r="AP660" s="3">
        <v>3</v>
      </c>
      <c r="AR660" s="2" t="s">
        <v>301</v>
      </c>
      <c r="AS660" s="2" t="s">
        <v>1040</v>
      </c>
    </row>
    <row r="661" spans="1:46" ht="12.75" customHeight="1">
      <c r="A661" s="4">
        <f>DATE(82,3,26)</f>
        <v>30036</v>
      </c>
      <c r="B661" s="2" t="s">
        <v>152</v>
      </c>
      <c r="C661" s="2" t="s">
        <v>1357</v>
      </c>
      <c r="E661" s="18">
        <v>2</v>
      </c>
      <c r="F661" s="18">
        <v>0</v>
      </c>
      <c r="G661" s="18">
        <v>6</v>
      </c>
      <c r="H661" s="18">
        <v>1</v>
      </c>
      <c r="I661" s="18">
        <v>3</v>
      </c>
      <c r="J661" s="18">
        <v>5</v>
      </c>
      <c r="T661" s="3">
        <v>17</v>
      </c>
      <c r="U661" s="3">
        <v>13</v>
      </c>
      <c r="V661" s="3">
        <v>3</v>
      </c>
      <c r="X661" s="2" t="s">
        <v>1358</v>
      </c>
      <c r="Y661" s="18">
        <v>1</v>
      </c>
      <c r="Z661" s="18">
        <v>1</v>
      </c>
      <c r="AA661" s="18">
        <v>0</v>
      </c>
      <c r="AB661" s="18">
        <v>0</v>
      </c>
      <c r="AC661" s="18">
        <v>1</v>
      </c>
      <c r="AD661" s="18">
        <v>0</v>
      </c>
      <c r="AN661" s="3">
        <v>3</v>
      </c>
      <c r="AO661" s="3">
        <v>3</v>
      </c>
      <c r="AP661" s="3">
        <v>7</v>
      </c>
      <c r="AR661" s="2" t="s">
        <v>1359</v>
      </c>
      <c r="AS661" s="2" t="s">
        <v>302</v>
      </c>
      <c r="AT661" s="2" t="s">
        <v>194</v>
      </c>
    </row>
    <row r="662" spans="1:45" ht="12.75" customHeight="1">
      <c r="A662" s="4">
        <f>DATE(82,3,27)</f>
        <v>30037</v>
      </c>
      <c r="B662" s="2" t="s">
        <v>152</v>
      </c>
      <c r="C662" s="2" t="s">
        <v>1360</v>
      </c>
      <c r="E662" s="18">
        <v>0</v>
      </c>
      <c r="F662" s="18">
        <v>4</v>
      </c>
      <c r="G662" s="18">
        <v>6</v>
      </c>
      <c r="H662" s="18">
        <v>2</v>
      </c>
      <c r="I662" s="18">
        <v>2</v>
      </c>
      <c r="T662" s="3">
        <v>14</v>
      </c>
      <c r="U662" s="3">
        <v>10</v>
      </c>
      <c r="V662" s="3">
        <v>1</v>
      </c>
      <c r="X662" s="2" t="s">
        <v>1361</v>
      </c>
      <c r="Y662" s="18">
        <v>0</v>
      </c>
      <c r="Z662" s="18">
        <v>0</v>
      </c>
      <c r="AA662" s="18">
        <v>2</v>
      </c>
      <c r="AB662" s="18">
        <v>1</v>
      </c>
      <c r="AC662" s="18">
        <v>0</v>
      </c>
      <c r="AN662" s="3">
        <v>3</v>
      </c>
      <c r="AO662" s="3">
        <v>5</v>
      </c>
      <c r="AP662" s="3">
        <v>7</v>
      </c>
      <c r="AR662" s="2" t="s">
        <v>1362</v>
      </c>
      <c r="AS662" s="2" t="s">
        <v>1102</v>
      </c>
    </row>
    <row r="663" spans="1:44" ht="12.75" customHeight="1">
      <c r="A663" s="4">
        <f>DATE(82,3,27)</f>
        <v>30037</v>
      </c>
      <c r="B663" s="2" t="s">
        <v>152</v>
      </c>
      <c r="C663" s="2" t="s">
        <v>1363</v>
      </c>
      <c r="E663" s="18">
        <v>0</v>
      </c>
      <c r="F663" s="18">
        <v>1</v>
      </c>
      <c r="G663" s="18">
        <v>9</v>
      </c>
      <c r="H663" s="18">
        <v>2</v>
      </c>
      <c r="I663" s="18">
        <v>1</v>
      </c>
      <c r="J663" s="18">
        <v>4</v>
      </c>
      <c r="T663" s="3">
        <v>17</v>
      </c>
      <c r="U663" s="3">
        <v>15</v>
      </c>
      <c r="V663" s="3">
        <v>2</v>
      </c>
      <c r="X663" s="2" t="s">
        <v>1364</v>
      </c>
      <c r="Y663" s="18">
        <v>3</v>
      </c>
      <c r="Z663" s="18">
        <v>0</v>
      </c>
      <c r="AA663" s="18">
        <v>0</v>
      </c>
      <c r="AB663" s="18">
        <v>1</v>
      </c>
      <c r="AC663" s="18">
        <v>0</v>
      </c>
      <c r="AD663" s="18">
        <v>3</v>
      </c>
      <c r="AN663" s="3">
        <v>7</v>
      </c>
      <c r="AO663" s="3">
        <v>6</v>
      </c>
      <c r="AP663" s="3">
        <v>2</v>
      </c>
      <c r="AR663" s="2" t="s">
        <v>1365</v>
      </c>
    </row>
    <row r="664" spans="1:44" ht="12.75" customHeight="1">
      <c r="A664" s="4">
        <f>DATE(82,3,27)</f>
        <v>30037</v>
      </c>
      <c r="B664" s="2" t="s">
        <v>152</v>
      </c>
      <c r="C664" s="2" t="s">
        <v>1360</v>
      </c>
      <c r="E664" s="18">
        <v>0</v>
      </c>
      <c r="F664" s="18">
        <v>1</v>
      </c>
      <c r="G664" s="18">
        <v>3</v>
      </c>
      <c r="H664" s="18">
        <v>0</v>
      </c>
      <c r="I664" s="18">
        <v>2</v>
      </c>
      <c r="J664" s="18">
        <v>1</v>
      </c>
      <c r="K664" s="18">
        <v>0</v>
      </c>
      <c r="T664" s="3">
        <v>7</v>
      </c>
      <c r="U664" s="3">
        <v>8</v>
      </c>
      <c r="V664" s="3">
        <v>7</v>
      </c>
      <c r="X664" s="2" t="s">
        <v>1366</v>
      </c>
      <c r="Y664" s="18">
        <v>0</v>
      </c>
      <c r="Z664" s="18">
        <v>0</v>
      </c>
      <c r="AA664" s="18">
        <v>0</v>
      </c>
      <c r="AB664" s="18">
        <v>0</v>
      </c>
      <c r="AC664" s="18">
        <v>4</v>
      </c>
      <c r="AD664" s="18">
        <v>0</v>
      </c>
      <c r="AE664" s="18">
        <v>1</v>
      </c>
      <c r="AN664" s="3">
        <v>5</v>
      </c>
      <c r="AO664" s="3">
        <v>5</v>
      </c>
      <c r="AP664" s="3">
        <v>3</v>
      </c>
      <c r="AR664" s="2" t="s">
        <v>1367</v>
      </c>
    </row>
    <row r="665" spans="1:44" ht="12.75" customHeight="1">
      <c r="A665" s="4">
        <f>DATE(82,3,30)</f>
        <v>30040</v>
      </c>
      <c r="C665" s="2" t="s">
        <v>385</v>
      </c>
      <c r="E665" s="18">
        <v>0</v>
      </c>
      <c r="F665" s="18">
        <v>0</v>
      </c>
      <c r="G665" s="18">
        <v>2</v>
      </c>
      <c r="H665" s="18">
        <v>0</v>
      </c>
      <c r="I665" s="18">
        <v>5</v>
      </c>
      <c r="J665" s="18">
        <v>1</v>
      </c>
      <c r="K665" s="18" t="s">
        <v>162</v>
      </c>
      <c r="T665" s="3">
        <v>8</v>
      </c>
      <c r="U665" s="3">
        <v>6</v>
      </c>
      <c r="V665" s="3">
        <v>3</v>
      </c>
      <c r="X665" s="2" t="s">
        <v>1339</v>
      </c>
      <c r="Y665" s="18">
        <v>0</v>
      </c>
      <c r="Z665" s="18">
        <v>3</v>
      </c>
      <c r="AA665" s="18">
        <v>0</v>
      </c>
      <c r="AB665" s="18">
        <v>0</v>
      </c>
      <c r="AC665" s="18">
        <v>0</v>
      </c>
      <c r="AD665" s="18">
        <v>0</v>
      </c>
      <c r="AE665" s="18">
        <v>0</v>
      </c>
      <c r="AN665" s="3">
        <v>3</v>
      </c>
      <c r="AO665" s="3">
        <v>4</v>
      </c>
      <c r="AP665" s="3">
        <v>3</v>
      </c>
      <c r="AR665" s="2" t="s">
        <v>1368</v>
      </c>
    </row>
    <row r="666" spans="1:44" ht="12.75" customHeight="1">
      <c r="A666" s="4">
        <f>DATE(82,4,1)</f>
        <v>30042</v>
      </c>
      <c r="C666" s="2" t="s">
        <v>367</v>
      </c>
      <c r="E666" s="18">
        <v>0</v>
      </c>
      <c r="F666" s="18">
        <v>0</v>
      </c>
      <c r="G666" s="18">
        <v>0</v>
      </c>
      <c r="H666" s="18">
        <v>4</v>
      </c>
      <c r="I666" s="18">
        <v>5</v>
      </c>
      <c r="J666" s="18">
        <v>3</v>
      </c>
      <c r="K666" s="18" t="s">
        <v>162</v>
      </c>
      <c r="T666" s="3">
        <v>12</v>
      </c>
      <c r="U666" s="3">
        <v>12</v>
      </c>
      <c r="V666" s="3">
        <v>3</v>
      </c>
      <c r="X666" s="2" t="s">
        <v>1369</v>
      </c>
      <c r="Y666" s="18">
        <v>0</v>
      </c>
      <c r="Z666" s="18">
        <v>1</v>
      </c>
      <c r="AA666" s="18">
        <v>2</v>
      </c>
      <c r="AB666" s="18">
        <v>1</v>
      </c>
      <c r="AC666" s="18">
        <v>0</v>
      </c>
      <c r="AD666" s="18">
        <v>0</v>
      </c>
      <c r="AE666" s="18">
        <v>0</v>
      </c>
      <c r="AN666" s="3">
        <v>4</v>
      </c>
      <c r="AO666" s="3">
        <v>8</v>
      </c>
      <c r="AP666" s="3">
        <v>2</v>
      </c>
      <c r="AR666" s="2" t="s">
        <v>1322</v>
      </c>
    </row>
    <row r="667" spans="1:44" ht="12.75" customHeight="1">
      <c r="A667" s="4">
        <f>DATE(82,4,13)</f>
        <v>30054</v>
      </c>
      <c r="C667" s="2" t="s">
        <v>379</v>
      </c>
      <c r="E667" s="18">
        <v>0</v>
      </c>
      <c r="F667" s="18">
        <v>0</v>
      </c>
      <c r="G667" s="18">
        <v>0</v>
      </c>
      <c r="H667" s="18">
        <v>0</v>
      </c>
      <c r="I667" s="18">
        <v>2</v>
      </c>
      <c r="T667" s="3">
        <v>2</v>
      </c>
      <c r="U667" s="3">
        <v>6</v>
      </c>
      <c r="V667" s="3">
        <v>3</v>
      </c>
      <c r="X667" s="2" t="s">
        <v>1334</v>
      </c>
      <c r="Y667" s="18">
        <v>2</v>
      </c>
      <c r="Z667" s="18">
        <v>0</v>
      </c>
      <c r="AA667" s="18">
        <v>1</v>
      </c>
      <c r="AB667" s="18">
        <v>0</v>
      </c>
      <c r="AC667" s="18">
        <v>1</v>
      </c>
      <c r="AN667" s="3">
        <v>4</v>
      </c>
      <c r="AO667" s="3">
        <v>4</v>
      </c>
      <c r="AP667" s="3">
        <v>1</v>
      </c>
      <c r="AR667" s="2" t="s">
        <v>1370</v>
      </c>
    </row>
    <row r="668" spans="1:44" ht="12.75" customHeight="1">
      <c r="A668" s="4">
        <f>DATE(82,4,15)</f>
        <v>30056</v>
      </c>
      <c r="C668" s="2" t="s">
        <v>382</v>
      </c>
      <c r="E668" s="18">
        <v>0</v>
      </c>
      <c r="F668" s="18">
        <v>0</v>
      </c>
      <c r="G668" s="18">
        <v>0</v>
      </c>
      <c r="H668" s="18">
        <v>0</v>
      </c>
      <c r="I668" s="18">
        <v>5</v>
      </c>
      <c r="J668" s="18">
        <v>0</v>
      </c>
      <c r="K668" s="18" t="s">
        <v>162</v>
      </c>
      <c r="T668" s="3">
        <v>5</v>
      </c>
      <c r="U668" s="3">
        <v>8</v>
      </c>
      <c r="V668" s="3">
        <v>2</v>
      </c>
      <c r="X668" s="2" t="s">
        <v>1356</v>
      </c>
      <c r="Y668" s="18">
        <v>0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N668" s="3">
        <v>0</v>
      </c>
      <c r="AO668" s="3">
        <v>1</v>
      </c>
      <c r="AP668" s="3">
        <v>5</v>
      </c>
      <c r="AR668" s="2" t="s">
        <v>1371</v>
      </c>
    </row>
    <row r="669" spans="1:44" ht="12.75" customHeight="1">
      <c r="A669" s="4">
        <f>DATE(82,4,17)</f>
        <v>30058</v>
      </c>
      <c r="B669" s="2" t="s">
        <v>152</v>
      </c>
      <c r="C669" s="2" t="s">
        <v>175</v>
      </c>
      <c r="E669" s="18">
        <v>1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2</v>
      </c>
      <c r="T669" s="3">
        <v>3</v>
      </c>
      <c r="U669" s="3">
        <v>5</v>
      </c>
      <c r="V669" s="3">
        <v>1</v>
      </c>
      <c r="X669" s="2" t="s">
        <v>1313</v>
      </c>
      <c r="Y669" s="18">
        <v>2</v>
      </c>
      <c r="Z669" s="18">
        <v>1</v>
      </c>
      <c r="AA669" s="18">
        <v>0</v>
      </c>
      <c r="AB669" s="18">
        <v>0</v>
      </c>
      <c r="AC669" s="18">
        <v>0</v>
      </c>
      <c r="AD669" s="18">
        <v>3</v>
      </c>
      <c r="AE669" s="18" t="s">
        <v>162</v>
      </c>
      <c r="AN669" s="3">
        <v>6</v>
      </c>
      <c r="AO669" s="3">
        <v>6</v>
      </c>
      <c r="AP669" s="3">
        <v>3</v>
      </c>
      <c r="AR669" s="2" t="s">
        <v>1372</v>
      </c>
    </row>
    <row r="670" spans="1:44" ht="12.75" customHeight="1">
      <c r="A670" s="4">
        <f>DATE(82,4,19)</f>
        <v>30060</v>
      </c>
      <c r="C670" s="2" t="s">
        <v>169</v>
      </c>
      <c r="E670" s="18">
        <v>6</v>
      </c>
      <c r="F670" s="18">
        <v>3</v>
      </c>
      <c r="G670" s="18">
        <v>1</v>
      </c>
      <c r="H670" s="18">
        <v>3</v>
      </c>
      <c r="I670" s="18">
        <v>0</v>
      </c>
      <c r="J670" s="18">
        <v>0</v>
      </c>
      <c r="K670" s="18">
        <v>1</v>
      </c>
      <c r="T670" s="3">
        <v>14</v>
      </c>
      <c r="U670" s="3">
        <v>11</v>
      </c>
      <c r="V670" s="3">
        <v>9</v>
      </c>
      <c r="X670" s="2" t="s">
        <v>1313</v>
      </c>
      <c r="Y670" s="18">
        <v>0</v>
      </c>
      <c r="Z670" s="18">
        <v>9</v>
      </c>
      <c r="AA670" s="18">
        <v>3</v>
      </c>
      <c r="AB670" s="18">
        <v>0</v>
      </c>
      <c r="AC670" s="18">
        <v>0</v>
      </c>
      <c r="AD670" s="18">
        <v>0</v>
      </c>
      <c r="AE670" s="18">
        <v>0</v>
      </c>
      <c r="AN670" s="3">
        <v>12</v>
      </c>
      <c r="AO670" s="3">
        <v>7</v>
      </c>
      <c r="AP670" s="3">
        <v>5</v>
      </c>
      <c r="AR670" s="2" t="s">
        <v>1373</v>
      </c>
    </row>
    <row r="671" spans="1:44" ht="12.75" customHeight="1">
      <c r="A671" s="4">
        <f>DATE(82,4,20)</f>
        <v>30061</v>
      </c>
      <c r="B671" s="2" t="s">
        <v>152</v>
      </c>
      <c r="C671" s="2" t="s">
        <v>174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T671" s="3">
        <v>0</v>
      </c>
      <c r="U671" s="3">
        <v>3</v>
      </c>
      <c r="V671" s="3">
        <v>3</v>
      </c>
      <c r="X671" s="2" t="s">
        <v>1374</v>
      </c>
      <c r="Y671" s="18">
        <v>0</v>
      </c>
      <c r="Z671" s="18">
        <v>1</v>
      </c>
      <c r="AA671" s="18">
        <v>0</v>
      </c>
      <c r="AB671" s="18">
        <v>2</v>
      </c>
      <c r="AC671" s="18">
        <v>0</v>
      </c>
      <c r="AD671" s="18">
        <v>7</v>
      </c>
      <c r="AN671" s="3">
        <v>10</v>
      </c>
      <c r="AO671" s="3">
        <v>15</v>
      </c>
      <c r="AP671" s="3">
        <v>0</v>
      </c>
      <c r="AR671" s="2" t="s">
        <v>1375</v>
      </c>
    </row>
    <row r="672" spans="1:44" ht="12.75" customHeight="1">
      <c r="A672" s="4">
        <f>DATE(82,4,22)</f>
        <v>30063</v>
      </c>
      <c r="C672" s="2" t="s">
        <v>374</v>
      </c>
      <c r="E672" s="18">
        <v>2</v>
      </c>
      <c r="F672" s="18">
        <v>0</v>
      </c>
      <c r="G672" s="18">
        <v>1</v>
      </c>
      <c r="H672" s="18">
        <v>3</v>
      </c>
      <c r="I672" s="18">
        <v>0</v>
      </c>
      <c r="J672" s="18">
        <v>0</v>
      </c>
      <c r="K672" s="18" t="s">
        <v>162</v>
      </c>
      <c r="T672" s="3">
        <v>6</v>
      </c>
      <c r="U672" s="3">
        <v>6</v>
      </c>
      <c r="V672" s="3">
        <v>2</v>
      </c>
      <c r="X672" s="2" t="s">
        <v>1313</v>
      </c>
      <c r="Y672" s="18">
        <v>0</v>
      </c>
      <c r="Z672" s="18">
        <v>2</v>
      </c>
      <c r="AA672" s="18">
        <v>0</v>
      </c>
      <c r="AB672" s="18">
        <v>0</v>
      </c>
      <c r="AC672" s="18">
        <v>0</v>
      </c>
      <c r="AD672" s="18">
        <v>0</v>
      </c>
      <c r="AE672" s="18">
        <v>1</v>
      </c>
      <c r="AN672" s="3">
        <v>3</v>
      </c>
      <c r="AO672" s="3">
        <v>7</v>
      </c>
      <c r="AP672" s="3">
        <v>2</v>
      </c>
      <c r="AR672" s="2" t="s">
        <v>1376</v>
      </c>
    </row>
    <row r="673" spans="1:44" ht="12.75" customHeight="1">
      <c r="A673" s="4">
        <f>DATE(82,4,24)</f>
        <v>30065</v>
      </c>
      <c r="B673" s="2" t="s">
        <v>152</v>
      </c>
      <c r="C673" s="2" t="s">
        <v>367</v>
      </c>
      <c r="E673" s="18">
        <v>3</v>
      </c>
      <c r="F673" s="18">
        <v>0</v>
      </c>
      <c r="G673" s="18">
        <v>1</v>
      </c>
      <c r="H673" s="18">
        <v>0</v>
      </c>
      <c r="I673" s="18">
        <v>0</v>
      </c>
      <c r="J673" s="18">
        <v>5</v>
      </c>
      <c r="K673" s="18">
        <v>4</v>
      </c>
      <c r="T673" s="3">
        <v>13</v>
      </c>
      <c r="U673" s="3">
        <v>14</v>
      </c>
      <c r="V673" s="3">
        <v>4</v>
      </c>
      <c r="X673" s="2" t="s">
        <v>1329</v>
      </c>
      <c r="Y673" s="18">
        <v>0</v>
      </c>
      <c r="Z673" s="18">
        <v>1</v>
      </c>
      <c r="AA673" s="18">
        <v>1</v>
      </c>
      <c r="AB673" s="18">
        <v>0</v>
      </c>
      <c r="AC673" s="18">
        <v>0</v>
      </c>
      <c r="AD673" s="18">
        <v>1</v>
      </c>
      <c r="AE673" s="18" t="s">
        <v>162</v>
      </c>
      <c r="AN673" s="3">
        <v>3</v>
      </c>
      <c r="AO673" s="3">
        <v>2</v>
      </c>
      <c r="AP673" s="3">
        <v>0</v>
      </c>
      <c r="AR673" s="2" t="s">
        <v>1377</v>
      </c>
    </row>
    <row r="674" spans="1:44" ht="12.75" customHeight="1">
      <c r="A674" s="4">
        <f>DATE(82,4,24)</f>
        <v>30065</v>
      </c>
      <c r="B674" s="2" t="s">
        <v>152</v>
      </c>
      <c r="C674" s="2" t="s">
        <v>367</v>
      </c>
      <c r="E674" s="18">
        <v>6</v>
      </c>
      <c r="F674" s="18">
        <v>0</v>
      </c>
      <c r="G674" s="18">
        <v>0</v>
      </c>
      <c r="H674" s="18">
        <v>0</v>
      </c>
      <c r="I674" s="18">
        <v>2</v>
      </c>
      <c r="J674" s="18">
        <v>1</v>
      </c>
      <c r="K674" s="18">
        <v>0</v>
      </c>
      <c r="T674" s="3">
        <v>9</v>
      </c>
      <c r="U674" s="3">
        <v>9</v>
      </c>
      <c r="V674" s="3">
        <v>2</v>
      </c>
      <c r="X674" s="2" t="s">
        <v>1378</v>
      </c>
      <c r="Y674" s="18">
        <v>0</v>
      </c>
      <c r="Z674" s="18">
        <v>2</v>
      </c>
      <c r="AA674" s="18">
        <v>1</v>
      </c>
      <c r="AB674" s="18">
        <v>0</v>
      </c>
      <c r="AC674" s="18">
        <v>0</v>
      </c>
      <c r="AD674" s="18">
        <v>1</v>
      </c>
      <c r="AE674" s="18">
        <v>0</v>
      </c>
      <c r="AN674" s="3">
        <v>4</v>
      </c>
      <c r="AO674" s="3">
        <v>5</v>
      </c>
      <c r="AP674" s="3">
        <v>6</v>
      </c>
      <c r="AR674" s="2" t="s">
        <v>1379</v>
      </c>
    </row>
    <row r="675" spans="1:44" ht="12.75" customHeight="1">
      <c r="A675" s="4">
        <f>DATE(82,4,27)</f>
        <v>30068</v>
      </c>
      <c r="C675" s="2" t="s">
        <v>236</v>
      </c>
      <c r="E675" s="18">
        <v>5</v>
      </c>
      <c r="F675" s="18">
        <v>0</v>
      </c>
      <c r="G675" s="18">
        <v>2</v>
      </c>
      <c r="H675" s="18">
        <v>2</v>
      </c>
      <c r="I675" s="18">
        <v>0</v>
      </c>
      <c r="J675" s="18">
        <v>4</v>
      </c>
      <c r="T675" s="3">
        <v>13</v>
      </c>
      <c r="U675" s="3">
        <v>13</v>
      </c>
      <c r="V675" s="3">
        <v>0</v>
      </c>
      <c r="X675" s="2" t="s">
        <v>1313</v>
      </c>
      <c r="Y675" s="18">
        <v>0</v>
      </c>
      <c r="Z675" s="18">
        <v>0</v>
      </c>
      <c r="AA675" s="18">
        <v>0</v>
      </c>
      <c r="AB675" s="18">
        <v>3</v>
      </c>
      <c r="AC675" s="18">
        <v>0</v>
      </c>
      <c r="AD675" s="18">
        <v>0</v>
      </c>
      <c r="AN675" s="3">
        <v>3</v>
      </c>
      <c r="AO675" s="3">
        <v>9</v>
      </c>
      <c r="AP675" s="3">
        <v>4</v>
      </c>
      <c r="AR675" s="2" t="s">
        <v>1383</v>
      </c>
    </row>
    <row r="676" spans="1:44" ht="12.75" customHeight="1">
      <c r="A676" s="4">
        <f>DATE(82,4,29)</f>
        <v>30070</v>
      </c>
      <c r="B676" s="2" t="s">
        <v>152</v>
      </c>
      <c r="C676" s="2" t="s">
        <v>305</v>
      </c>
      <c r="E676" s="18">
        <v>4</v>
      </c>
      <c r="F676" s="18">
        <v>0</v>
      </c>
      <c r="G676" s="18">
        <v>1</v>
      </c>
      <c r="H676" s="18">
        <v>2</v>
      </c>
      <c r="I676" s="18">
        <v>0</v>
      </c>
      <c r="J676" s="18">
        <v>4</v>
      </c>
      <c r="K676" s="18">
        <v>2</v>
      </c>
      <c r="T676" s="3">
        <v>13</v>
      </c>
      <c r="U676" s="3">
        <v>13</v>
      </c>
      <c r="V676" s="3">
        <v>1</v>
      </c>
      <c r="X676" s="2" t="s">
        <v>1356</v>
      </c>
      <c r="Y676" s="18">
        <v>0</v>
      </c>
      <c r="Z676" s="18">
        <v>1</v>
      </c>
      <c r="AA676" s="18">
        <v>1</v>
      </c>
      <c r="AB676" s="18">
        <v>1</v>
      </c>
      <c r="AC676" s="18">
        <v>0</v>
      </c>
      <c r="AD676" s="18">
        <v>0</v>
      </c>
      <c r="AE676" s="18">
        <v>0</v>
      </c>
      <c r="AN676" s="3">
        <v>3</v>
      </c>
      <c r="AO676" s="3">
        <v>6</v>
      </c>
      <c r="AP676" s="3">
        <v>3</v>
      </c>
      <c r="AR676" s="2" t="s">
        <v>303</v>
      </c>
    </row>
    <row r="677" spans="1:44" ht="12.75" customHeight="1">
      <c r="A677" s="4">
        <f>DATE(82,5,1)</f>
        <v>30072</v>
      </c>
      <c r="C677" s="2" t="s">
        <v>304</v>
      </c>
      <c r="E677" s="18">
        <v>5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3</v>
      </c>
      <c r="T677" s="3">
        <v>8</v>
      </c>
      <c r="U677" s="3">
        <v>9</v>
      </c>
      <c r="V677" s="3">
        <v>2</v>
      </c>
      <c r="X677" s="2" t="s">
        <v>1384</v>
      </c>
      <c r="Y677" s="18">
        <v>0</v>
      </c>
      <c r="Z677" s="18">
        <v>2</v>
      </c>
      <c r="AA677" s="18">
        <v>2</v>
      </c>
      <c r="AB677" s="18">
        <v>4</v>
      </c>
      <c r="AC677" s="18">
        <v>4</v>
      </c>
      <c r="AD677" s="18">
        <v>0</v>
      </c>
      <c r="AE677" s="18">
        <v>0</v>
      </c>
      <c r="AN677" s="3">
        <v>12</v>
      </c>
      <c r="AO677" s="3">
        <v>12</v>
      </c>
      <c r="AP677" s="3">
        <v>1</v>
      </c>
      <c r="AR677" s="2" t="s">
        <v>1385</v>
      </c>
    </row>
    <row r="678" spans="1:44" ht="12.75" customHeight="1">
      <c r="A678" s="4">
        <f>DATE(82,5,1)</f>
        <v>30072</v>
      </c>
      <c r="C678" s="2" t="s">
        <v>305</v>
      </c>
      <c r="E678" s="18">
        <v>5</v>
      </c>
      <c r="F678" s="18">
        <v>1</v>
      </c>
      <c r="G678" s="18">
        <v>0</v>
      </c>
      <c r="H678" s="18">
        <v>1</v>
      </c>
      <c r="I678" s="18">
        <v>4</v>
      </c>
      <c r="J678" s="18">
        <v>4</v>
      </c>
      <c r="K678" s="18">
        <v>0</v>
      </c>
      <c r="T678" s="3">
        <v>15</v>
      </c>
      <c r="U678" s="3">
        <v>12</v>
      </c>
      <c r="V678" s="3">
        <v>5</v>
      </c>
      <c r="X678" s="2" t="s">
        <v>1339</v>
      </c>
      <c r="Y678" s="18">
        <v>0</v>
      </c>
      <c r="Z678" s="18">
        <v>0</v>
      </c>
      <c r="AA678" s="18">
        <v>0</v>
      </c>
      <c r="AB678" s="18">
        <v>2</v>
      </c>
      <c r="AC678" s="18">
        <v>0</v>
      </c>
      <c r="AD678" s="18">
        <v>4</v>
      </c>
      <c r="AE678" s="18">
        <v>3</v>
      </c>
      <c r="AN678" s="3">
        <v>9</v>
      </c>
      <c r="AO678" s="3">
        <v>8</v>
      </c>
      <c r="AP678" s="3">
        <v>1</v>
      </c>
      <c r="AR678" s="2" t="s">
        <v>1386</v>
      </c>
    </row>
    <row r="679" spans="1:44" ht="12.75" customHeight="1">
      <c r="A679" s="4">
        <f>DATE(82,5,4)</f>
        <v>30075</v>
      </c>
      <c r="C679" s="2" t="s">
        <v>175</v>
      </c>
      <c r="E679" s="18">
        <v>1</v>
      </c>
      <c r="F679" s="18">
        <v>0</v>
      </c>
      <c r="G679" s="18">
        <v>0</v>
      </c>
      <c r="H679" s="18">
        <v>0</v>
      </c>
      <c r="I679" s="18">
        <v>1</v>
      </c>
      <c r="J679" s="18">
        <v>4</v>
      </c>
      <c r="K679" s="18">
        <v>3</v>
      </c>
      <c r="T679" s="3">
        <v>9</v>
      </c>
      <c r="U679" s="3">
        <v>11</v>
      </c>
      <c r="V679" s="3">
        <v>4</v>
      </c>
      <c r="X679" s="2" t="s">
        <v>1346</v>
      </c>
      <c r="Y679" s="18">
        <v>3</v>
      </c>
      <c r="Z679" s="18">
        <v>0</v>
      </c>
      <c r="AA679" s="18">
        <v>1</v>
      </c>
      <c r="AB679" s="18">
        <v>0</v>
      </c>
      <c r="AC679" s="18">
        <v>2</v>
      </c>
      <c r="AD679" s="18">
        <v>0</v>
      </c>
      <c r="AE679" s="18">
        <v>7</v>
      </c>
      <c r="AN679" s="3">
        <v>13</v>
      </c>
      <c r="AO679" s="3">
        <v>10</v>
      </c>
      <c r="AP679" s="3">
        <v>2</v>
      </c>
      <c r="AR679" s="2" t="s">
        <v>1372</v>
      </c>
    </row>
    <row r="680" spans="1:44" ht="12.75" customHeight="1">
      <c r="A680" s="4">
        <f>DATE(82,5,6)</f>
        <v>30077</v>
      </c>
      <c r="B680" s="2" t="s">
        <v>152</v>
      </c>
      <c r="C680" s="2" t="s">
        <v>379</v>
      </c>
      <c r="E680" s="18">
        <v>3</v>
      </c>
      <c r="F680" s="18">
        <v>3</v>
      </c>
      <c r="G680" s="18">
        <v>0</v>
      </c>
      <c r="H680" s="18">
        <v>8</v>
      </c>
      <c r="I680" s="18">
        <v>4</v>
      </c>
      <c r="T680" s="3">
        <v>18</v>
      </c>
      <c r="U680" s="3">
        <v>19</v>
      </c>
      <c r="V680" s="3">
        <v>0</v>
      </c>
      <c r="X680" s="2" t="s">
        <v>1369</v>
      </c>
      <c r="Y680" s="18">
        <v>0</v>
      </c>
      <c r="Z680" s="18">
        <v>0</v>
      </c>
      <c r="AA680" s="18">
        <v>0</v>
      </c>
      <c r="AB680" s="18">
        <v>0</v>
      </c>
      <c r="AC680" s="18">
        <v>0</v>
      </c>
      <c r="AN680" s="3">
        <v>0</v>
      </c>
      <c r="AO680" s="3">
        <v>2</v>
      </c>
      <c r="AP680" s="3">
        <v>5</v>
      </c>
      <c r="AR680" s="2" t="s">
        <v>1387</v>
      </c>
    </row>
    <row r="681" spans="1:44" ht="12.75" customHeight="1">
      <c r="A681" s="4">
        <f>DATE(82,5,10)</f>
        <v>30081</v>
      </c>
      <c r="C681" s="2" t="s">
        <v>305</v>
      </c>
      <c r="E681" s="18">
        <v>0</v>
      </c>
      <c r="F681" s="18">
        <v>0</v>
      </c>
      <c r="G681" s="18">
        <v>2</v>
      </c>
      <c r="H681" s="18">
        <v>0</v>
      </c>
      <c r="I681" s="18">
        <v>4</v>
      </c>
      <c r="J681" s="18">
        <v>1</v>
      </c>
      <c r="K681" s="18" t="s">
        <v>162</v>
      </c>
      <c r="T681" s="3">
        <v>7</v>
      </c>
      <c r="U681" s="3">
        <v>9</v>
      </c>
      <c r="V681" s="3">
        <v>1</v>
      </c>
      <c r="X681" s="2" t="s">
        <v>1339</v>
      </c>
      <c r="Y681" s="18">
        <v>0</v>
      </c>
      <c r="Z681" s="18">
        <v>0</v>
      </c>
      <c r="AA681" s="18">
        <v>0</v>
      </c>
      <c r="AB681" s="18">
        <v>2</v>
      </c>
      <c r="AC681" s="18">
        <v>0</v>
      </c>
      <c r="AD681" s="18">
        <v>0</v>
      </c>
      <c r="AE681" s="18">
        <v>0</v>
      </c>
      <c r="AN681" s="3">
        <v>2</v>
      </c>
      <c r="AO681" s="3">
        <v>3</v>
      </c>
      <c r="AP681" s="3">
        <v>1</v>
      </c>
      <c r="AR681" s="2" t="s">
        <v>1388</v>
      </c>
    </row>
    <row r="682" spans="1:44" ht="12.75" customHeight="1">
      <c r="A682" s="4">
        <f>DATE(82,5,11)</f>
        <v>30082</v>
      </c>
      <c r="B682" s="2" t="s">
        <v>152</v>
      </c>
      <c r="C682" s="2" t="s">
        <v>382</v>
      </c>
      <c r="E682" s="18">
        <v>3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1</v>
      </c>
      <c r="T682" s="3">
        <v>4</v>
      </c>
      <c r="U682" s="3">
        <v>11</v>
      </c>
      <c r="V682" s="3">
        <v>0</v>
      </c>
      <c r="X682" s="2" t="s">
        <v>1356</v>
      </c>
      <c r="Y682" s="18">
        <v>1</v>
      </c>
      <c r="Z682" s="18">
        <v>0</v>
      </c>
      <c r="AA682" s="18">
        <v>0</v>
      </c>
      <c r="AB682" s="18">
        <v>2</v>
      </c>
      <c r="AC682" s="18">
        <v>0</v>
      </c>
      <c r="AD682" s="18">
        <v>0</v>
      </c>
      <c r="AE682" s="18">
        <v>0</v>
      </c>
      <c r="AN682" s="3">
        <v>3</v>
      </c>
      <c r="AO682" s="3">
        <v>7</v>
      </c>
      <c r="AP682" s="3">
        <v>0</v>
      </c>
      <c r="AR682" s="2" t="s">
        <v>306</v>
      </c>
    </row>
    <row r="683" spans="1:44" ht="12.75" customHeight="1">
      <c r="A683" s="4">
        <f>DATE(82,5,13)</f>
        <v>30084</v>
      </c>
      <c r="C683" s="2" t="s">
        <v>174</v>
      </c>
      <c r="E683" s="18">
        <v>2</v>
      </c>
      <c r="F683" s="18">
        <v>0</v>
      </c>
      <c r="G683" s="18">
        <v>0</v>
      </c>
      <c r="H683" s="18">
        <v>0</v>
      </c>
      <c r="I683" s="18">
        <v>0</v>
      </c>
      <c r="J683" s="18">
        <v>3</v>
      </c>
      <c r="K683" s="18">
        <v>2</v>
      </c>
      <c r="T683" s="3">
        <v>7</v>
      </c>
      <c r="U683" s="3">
        <v>8</v>
      </c>
      <c r="V683" s="3">
        <v>4</v>
      </c>
      <c r="X683" s="2" t="s">
        <v>1339</v>
      </c>
      <c r="Y683" s="18">
        <v>2</v>
      </c>
      <c r="Z683" s="18">
        <v>2</v>
      </c>
      <c r="AA683" s="18">
        <v>0</v>
      </c>
      <c r="AB683" s="18">
        <v>0</v>
      </c>
      <c r="AC683" s="18">
        <v>1</v>
      </c>
      <c r="AD683" s="18">
        <v>0</v>
      </c>
      <c r="AE683" s="18">
        <v>1</v>
      </c>
      <c r="AN683" s="3">
        <v>6</v>
      </c>
      <c r="AO683" s="3">
        <v>8</v>
      </c>
      <c r="AP683" s="3">
        <v>2</v>
      </c>
      <c r="AR683" s="2" t="s">
        <v>1389</v>
      </c>
    </row>
    <row r="684" spans="1:44" ht="12.75" customHeight="1">
      <c r="A684" s="4">
        <f>DATE(82,5,15)</f>
        <v>30086</v>
      </c>
      <c r="B684" s="2" t="s">
        <v>152</v>
      </c>
      <c r="C684" s="2" t="s">
        <v>169</v>
      </c>
      <c r="E684" s="18">
        <v>0</v>
      </c>
      <c r="F684" s="18">
        <v>0</v>
      </c>
      <c r="G684" s="18">
        <v>0</v>
      </c>
      <c r="H684" s="18">
        <v>4</v>
      </c>
      <c r="I684" s="18">
        <v>0</v>
      </c>
      <c r="J684" s="18">
        <v>0</v>
      </c>
      <c r="K684" s="18">
        <v>3</v>
      </c>
      <c r="T684" s="3">
        <v>7</v>
      </c>
      <c r="U684" s="3">
        <v>10</v>
      </c>
      <c r="V684" s="3">
        <v>0</v>
      </c>
      <c r="X684" s="2" t="s">
        <v>1378</v>
      </c>
      <c r="Y684" s="18">
        <v>0</v>
      </c>
      <c r="Z684" s="18">
        <v>0</v>
      </c>
      <c r="AA684" s="18">
        <v>3</v>
      </c>
      <c r="AB684" s="18">
        <v>0</v>
      </c>
      <c r="AC684" s="18">
        <v>0</v>
      </c>
      <c r="AD684" s="18">
        <v>0</v>
      </c>
      <c r="AE684" s="18">
        <v>0</v>
      </c>
      <c r="AN684" s="3">
        <v>3</v>
      </c>
      <c r="AO684" s="3">
        <v>8</v>
      </c>
      <c r="AP684" s="3">
        <v>0</v>
      </c>
      <c r="AR684" s="2" t="s">
        <v>1390</v>
      </c>
    </row>
    <row r="685" spans="1:44" ht="12.75" customHeight="1">
      <c r="A685" s="4">
        <f>DATE(82,5,17)</f>
        <v>30088</v>
      </c>
      <c r="C685" s="2" t="s">
        <v>183</v>
      </c>
      <c r="E685" s="18">
        <v>2</v>
      </c>
      <c r="F685" s="18">
        <v>4</v>
      </c>
      <c r="G685" s="18">
        <v>2</v>
      </c>
      <c r="H685" s="18">
        <v>0</v>
      </c>
      <c r="I685" s="18">
        <v>2</v>
      </c>
      <c r="T685" s="3">
        <v>10</v>
      </c>
      <c r="U685" s="3">
        <v>12</v>
      </c>
      <c r="V685" s="3">
        <v>2</v>
      </c>
      <c r="X685" s="2" t="s">
        <v>1334</v>
      </c>
      <c r="Y685" s="18">
        <v>0</v>
      </c>
      <c r="Z685" s="18">
        <v>0</v>
      </c>
      <c r="AA685" s="18">
        <v>0</v>
      </c>
      <c r="AB685" s="18">
        <v>0</v>
      </c>
      <c r="AC685" s="18">
        <v>0</v>
      </c>
      <c r="AN685" s="3">
        <v>0</v>
      </c>
      <c r="AO685" s="3">
        <v>0</v>
      </c>
      <c r="AP685" s="3">
        <v>3</v>
      </c>
      <c r="AR685" s="2" t="s">
        <v>1391</v>
      </c>
    </row>
    <row r="686" spans="1:44" ht="12.75" customHeight="1">
      <c r="A686" s="4">
        <f>DATE(82,5,18)</f>
        <v>30089</v>
      </c>
      <c r="B686" s="2" t="s">
        <v>152</v>
      </c>
      <c r="C686" s="2" t="s">
        <v>374</v>
      </c>
      <c r="E686" s="18">
        <v>1</v>
      </c>
      <c r="F686" s="18">
        <v>3</v>
      </c>
      <c r="G686" s="18">
        <v>3</v>
      </c>
      <c r="H686" s="18">
        <v>0</v>
      </c>
      <c r="I686" s="18">
        <v>0</v>
      </c>
      <c r="J686" s="18">
        <v>1</v>
      </c>
      <c r="T686" s="3">
        <v>8</v>
      </c>
      <c r="U686" s="3">
        <v>7</v>
      </c>
      <c r="V686" s="3">
        <v>5</v>
      </c>
      <c r="X686" s="2" t="s">
        <v>1369</v>
      </c>
      <c r="Y686" s="18">
        <v>2</v>
      </c>
      <c r="Z686" s="18">
        <v>3</v>
      </c>
      <c r="AA686" s="18">
        <v>0</v>
      </c>
      <c r="AB686" s="18">
        <v>2</v>
      </c>
      <c r="AC686" s="18">
        <v>1</v>
      </c>
      <c r="AD686" s="18">
        <v>2</v>
      </c>
      <c r="AE686" s="18" t="s">
        <v>162</v>
      </c>
      <c r="AN686" s="3">
        <v>10</v>
      </c>
      <c r="AO686" s="3">
        <v>10</v>
      </c>
      <c r="AP686" s="3">
        <v>2</v>
      </c>
      <c r="AR686" s="2" t="s">
        <v>1392</v>
      </c>
    </row>
    <row r="687" spans="1:44" ht="12.75" customHeight="1">
      <c r="A687" s="4">
        <f>DATE(82,5,25)</f>
        <v>30096</v>
      </c>
      <c r="B687" s="2" t="s">
        <v>239</v>
      </c>
      <c r="C687" s="2" t="s">
        <v>183</v>
      </c>
      <c r="D687" s="2" t="s">
        <v>258</v>
      </c>
      <c r="E687" s="18">
        <v>0</v>
      </c>
      <c r="F687" s="18">
        <v>1</v>
      </c>
      <c r="G687" s="18">
        <v>0</v>
      </c>
      <c r="H687" s="18">
        <v>0</v>
      </c>
      <c r="I687" s="18">
        <v>0</v>
      </c>
      <c r="J687" s="18">
        <v>0</v>
      </c>
      <c r="K687" s="18" t="s">
        <v>162</v>
      </c>
      <c r="T687" s="3">
        <v>1</v>
      </c>
      <c r="U687" s="3">
        <v>5</v>
      </c>
      <c r="V687" s="3">
        <v>1</v>
      </c>
      <c r="X687" s="2" t="s">
        <v>1339</v>
      </c>
      <c r="Y687" s="18"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  <c r="AE687" s="18">
        <v>0</v>
      </c>
      <c r="AN687" s="3">
        <v>0</v>
      </c>
      <c r="AO687" s="3">
        <v>0</v>
      </c>
      <c r="AP687" s="3">
        <v>1</v>
      </c>
      <c r="AR687" s="2" t="s">
        <v>1393</v>
      </c>
    </row>
    <row r="688" spans="1:44" ht="12.75" customHeight="1">
      <c r="A688" s="4">
        <f>DATE(82,6,8)</f>
        <v>30110</v>
      </c>
      <c r="B688" s="2" t="s">
        <v>239</v>
      </c>
      <c r="C688" s="2" t="s">
        <v>374</v>
      </c>
      <c r="D688" s="2" t="s">
        <v>260</v>
      </c>
      <c r="E688" s="18">
        <v>3</v>
      </c>
      <c r="F688" s="18">
        <v>0</v>
      </c>
      <c r="G688" s="18">
        <v>0</v>
      </c>
      <c r="H688" s="18">
        <v>1</v>
      </c>
      <c r="I688" s="18">
        <v>1</v>
      </c>
      <c r="J688" s="18">
        <v>0</v>
      </c>
      <c r="K688" s="18">
        <v>0</v>
      </c>
      <c r="T688" s="3">
        <v>5</v>
      </c>
      <c r="U688" s="3">
        <v>10</v>
      </c>
      <c r="V688" s="3">
        <v>4</v>
      </c>
      <c r="X688" s="2" t="s">
        <v>1313</v>
      </c>
      <c r="Y688" s="18">
        <v>5</v>
      </c>
      <c r="Z688" s="18">
        <v>1</v>
      </c>
      <c r="AA688" s="18">
        <v>0</v>
      </c>
      <c r="AB688" s="18">
        <v>0</v>
      </c>
      <c r="AC688" s="18">
        <v>0</v>
      </c>
      <c r="AD688" s="18">
        <v>0</v>
      </c>
      <c r="AE688" s="18" t="s">
        <v>162</v>
      </c>
      <c r="AN688" s="3">
        <v>6</v>
      </c>
      <c r="AO688" s="3">
        <v>5</v>
      </c>
      <c r="AP688" s="3">
        <v>0</v>
      </c>
      <c r="AR688" s="2" t="s">
        <v>1394</v>
      </c>
    </row>
    <row r="689" ht="12.75" customHeight="1">
      <c r="A689" s="4"/>
    </row>
    <row r="690" spans="1:45" ht="12.75" customHeight="1">
      <c r="A690" s="4">
        <f>DATE(83,3,26)</f>
        <v>30401</v>
      </c>
      <c r="C690" s="2" t="s">
        <v>385</v>
      </c>
      <c r="E690" s="18">
        <v>0</v>
      </c>
      <c r="F690" s="18">
        <v>1</v>
      </c>
      <c r="G690" s="18">
        <v>3</v>
      </c>
      <c r="H690" s="18">
        <v>3</v>
      </c>
      <c r="I690" s="18">
        <v>0</v>
      </c>
      <c r="J690" s="18">
        <v>1</v>
      </c>
      <c r="K690" s="18" t="s">
        <v>162</v>
      </c>
      <c r="T690" s="3">
        <v>8</v>
      </c>
      <c r="U690" s="3">
        <v>8</v>
      </c>
      <c r="V690" s="3">
        <v>4</v>
      </c>
      <c r="X690" s="2" t="s">
        <v>1334</v>
      </c>
      <c r="Y690" s="18">
        <v>0</v>
      </c>
      <c r="Z690" s="18">
        <v>0</v>
      </c>
      <c r="AA690" s="18">
        <v>0</v>
      </c>
      <c r="AB690" s="18">
        <v>0</v>
      </c>
      <c r="AC690" s="18">
        <v>1</v>
      </c>
      <c r="AD690" s="18">
        <v>0</v>
      </c>
      <c r="AE690" s="18">
        <v>1</v>
      </c>
      <c r="AN690" s="3">
        <v>2</v>
      </c>
      <c r="AO690" s="3">
        <v>2</v>
      </c>
      <c r="AP690" s="3">
        <v>2</v>
      </c>
      <c r="AR690" s="2" t="s">
        <v>307</v>
      </c>
      <c r="AS690" s="2" t="s">
        <v>1040</v>
      </c>
    </row>
    <row r="691" spans="1:46" ht="12.75" customHeight="1">
      <c r="A691" s="4">
        <f>DATE(83,3,26)</f>
        <v>30401</v>
      </c>
      <c r="C691" s="2" t="s">
        <v>385</v>
      </c>
      <c r="E691" s="18">
        <v>5</v>
      </c>
      <c r="F691" s="18">
        <v>1</v>
      </c>
      <c r="G691" s="18">
        <v>1</v>
      </c>
      <c r="H691" s="18">
        <v>1</v>
      </c>
      <c r="I691" s="18">
        <v>0</v>
      </c>
      <c r="J691" s="18">
        <v>3</v>
      </c>
      <c r="K691" s="18" t="s">
        <v>162</v>
      </c>
      <c r="T691" s="3">
        <v>11</v>
      </c>
      <c r="U691" s="3">
        <v>13</v>
      </c>
      <c r="V691" s="3">
        <v>0</v>
      </c>
      <c r="X691" s="2" t="s">
        <v>1395</v>
      </c>
      <c r="Y691" s="18">
        <v>1</v>
      </c>
      <c r="Z691" s="18">
        <v>0</v>
      </c>
      <c r="AA691" s="18">
        <v>1</v>
      </c>
      <c r="AB691" s="18">
        <v>0</v>
      </c>
      <c r="AC691" s="18">
        <v>0</v>
      </c>
      <c r="AD691" s="18">
        <v>0</v>
      </c>
      <c r="AE691" s="18">
        <v>0</v>
      </c>
      <c r="AN691" s="3">
        <v>2</v>
      </c>
      <c r="AO691" s="3">
        <v>8</v>
      </c>
      <c r="AP691" s="3">
        <v>4</v>
      </c>
      <c r="AR691" s="2" t="s">
        <v>308</v>
      </c>
      <c r="AS691" s="2" t="s">
        <v>274</v>
      </c>
      <c r="AT691" s="2" t="s">
        <v>309</v>
      </c>
    </row>
    <row r="692" spans="1:45" ht="12.75" customHeight="1">
      <c r="A692" s="4">
        <f>DATE(83,3,30)</f>
        <v>30405</v>
      </c>
      <c r="B692" s="2" t="s">
        <v>152</v>
      </c>
      <c r="C692" s="2" t="s">
        <v>1246</v>
      </c>
      <c r="E692" s="18">
        <v>0</v>
      </c>
      <c r="F692" s="18">
        <v>3</v>
      </c>
      <c r="G692" s="18">
        <v>0</v>
      </c>
      <c r="H692" s="18">
        <v>0</v>
      </c>
      <c r="I692" s="18">
        <v>0</v>
      </c>
      <c r="J692" s="18">
        <v>2</v>
      </c>
      <c r="K692" s="18">
        <v>0</v>
      </c>
      <c r="T692" s="3">
        <v>5</v>
      </c>
      <c r="U692" s="3">
        <v>3</v>
      </c>
      <c r="V692" s="3">
        <v>1</v>
      </c>
      <c r="X692" s="2" t="s">
        <v>1339</v>
      </c>
      <c r="Y692" s="18">
        <v>0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N692" s="3">
        <v>0</v>
      </c>
      <c r="AO692" s="3">
        <v>1</v>
      </c>
      <c r="AP692" s="3">
        <v>2</v>
      </c>
      <c r="AR692" s="2" t="s">
        <v>1396</v>
      </c>
      <c r="AS692" s="2" t="s">
        <v>1069</v>
      </c>
    </row>
    <row r="693" spans="1:44" ht="12.75" customHeight="1">
      <c r="A693" s="4">
        <f>DATE(83,3,31)</f>
        <v>30406</v>
      </c>
      <c r="B693" s="2" t="s">
        <v>152</v>
      </c>
      <c r="C693" s="2" t="s">
        <v>1397</v>
      </c>
      <c r="E693" s="18">
        <v>0</v>
      </c>
      <c r="F693" s="18">
        <v>0</v>
      </c>
      <c r="G693" s="18">
        <v>0</v>
      </c>
      <c r="H693" s="18">
        <v>0</v>
      </c>
      <c r="I693" s="18">
        <v>1</v>
      </c>
      <c r="J693" s="18">
        <v>1</v>
      </c>
      <c r="K693" s="18">
        <v>0</v>
      </c>
      <c r="T693" s="3">
        <v>2</v>
      </c>
      <c r="U693" s="3">
        <v>7</v>
      </c>
      <c r="V693" s="3">
        <v>2</v>
      </c>
      <c r="X693" s="2" t="s">
        <v>1398</v>
      </c>
      <c r="Y693" s="18">
        <v>0</v>
      </c>
      <c r="Z693" s="18">
        <v>2</v>
      </c>
      <c r="AA693" s="18">
        <v>0</v>
      </c>
      <c r="AB693" s="18">
        <v>1</v>
      </c>
      <c r="AC693" s="18">
        <v>0</v>
      </c>
      <c r="AD693" s="18">
        <v>0</v>
      </c>
      <c r="AE693" s="18" t="s">
        <v>162</v>
      </c>
      <c r="AN693" s="3">
        <v>3</v>
      </c>
      <c r="AO693" s="3">
        <v>3</v>
      </c>
      <c r="AP693" s="3">
        <v>4</v>
      </c>
      <c r="AR693" s="2" t="s">
        <v>310</v>
      </c>
    </row>
    <row r="694" spans="1:44" ht="12.75" customHeight="1">
      <c r="A694" s="4">
        <f>DATE(83,3,31)</f>
        <v>30406</v>
      </c>
      <c r="B694" s="2" t="s">
        <v>152</v>
      </c>
      <c r="C694" s="2" t="s">
        <v>1397</v>
      </c>
      <c r="E694" s="18">
        <v>0</v>
      </c>
      <c r="F694" s="18">
        <v>0</v>
      </c>
      <c r="G694" s="18">
        <v>0</v>
      </c>
      <c r="H694" s="18">
        <v>2</v>
      </c>
      <c r="I694" s="18">
        <v>0</v>
      </c>
      <c r="J694" s="18">
        <v>1</v>
      </c>
      <c r="K694" s="18">
        <v>0</v>
      </c>
      <c r="T694" s="3">
        <v>3</v>
      </c>
      <c r="U694" s="3">
        <v>3</v>
      </c>
      <c r="V694" s="3">
        <v>0</v>
      </c>
      <c r="X694" s="2" t="s">
        <v>1399</v>
      </c>
      <c r="Y694" s="18">
        <v>1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1</v>
      </c>
      <c r="AN694" s="3">
        <v>2</v>
      </c>
      <c r="AO694" s="3">
        <v>5</v>
      </c>
      <c r="AP694" s="3">
        <v>2</v>
      </c>
      <c r="AR694" s="2" t="s">
        <v>1400</v>
      </c>
    </row>
    <row r="695" spans="1:44" ht="12.75" customHeight="1">
      <c r="A695" s="4">
        <f>DATE(83,4,5)</f>
        <v>30411</v>
      </c>
      <c r="C695" s="2" t="s">
        <v>236</v>
      </c>
      <c r="E695" s="18">
        <v>2</v>
      </c>
      <c r="F695" s="18">
        <v>0</v>
      </c>
      <c r="G695" s="18">
        <v>0</v>
      </c>
      <c r="H695" s="18">
        <v>1</v>
      </c>
      <c r="I695" s="18">
        <v>0</v>
      </c>
      <c r="J695" s="18">
        <v>0</v>
      </c>
      <c r="K695" s="18" t="s">
        <v>162</v>
      </c>
      <c r="T695" s="3">
        <v>3</v>
      </c>
      <c r="U695" s="3">
        <v>6</v>
      </c>
      <c r="V695" s="3">
        <v>2</v>
      </c>
      <c r="X695" s="2" t="s">
        <v>1339</v>
      </c>
      <c r="Y695" s="18">
        <v>0</v>
      </c>
      <c r="Z695" s="18">
        <v>1</v>
      </c>
      <c r="AA695" s="18">
        <v>1</v>
      </c>
      <c r="AB695" s="18">
        <v>0</v>
      </c>
      <c r="AC695" s="18">
        <v>0</v>
      </c>
      <c r="AD695" s="18">
        <v>0</v>
      </c>
      <c r="AE695" s="18">
        <v>0</v>
      </c>
      <c r="AN695" s="3">
        <v>2</v>
      </c>
      <c r="AO695" s="3">
        <v>4</v>
      </c>
      <c r="AP695" s="3">
        <v>4</v>
      </c>
      <c r="AR695" s="2" t="s">
        <v>1401</v>
      </c>
    </row>
    <row r="696" spans="1:44" ht="12.75" customHeight="1">
      <c r="A696" s="4">
        <f>DATE(83,4,12)</f>
        <v>30418</v>
      </c>
      <c r="B696" s="2" t="s">
        <v>152</v>
      </c>
      <c r="C696" s="2" t="s">
        <v>175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1</v>
      </c>
      <c r="K696" s="18">
        <v>0</v>
      </c>
      <c r="T696" s="3">
        <v>1</v>
      </c>
      <c r="U696" s="3">
        <v>3</v>
      </c>
      <c r="V696" s="3">
        <v>0</v>
      </c>
      <c r="X696" s="2" t="s">
        <v>1313</v>
      </c>
      <c r="Y696" s="18">
        <v>0</v>
      </c>
      <c r="Z696" s="18">
        <v>2</v>
      </c>
      <c r="AA696" s="18">
        <v>0</v>
      </c>
      <c r="AB696" s="18">
        <v>0</v>
      </c>
      <c r="AC696" s="18">
        <v>0</v>
      </c>
      <c r="AD696" s="18">
        <v>0</v>
      </c>
      <c r="AE696" s="18" t="s">
        <v>162</v>
      </c>
      <c r="AN696" s="3">
        <v>2</v>
      </c>
      <c r="AO696" s="3">
        <v>3</v>
      </c>
      <c r="AP696" s="3">
        <v>1</v>
      </c>
      <c r="AR696" s="2" t="s">
        <v>1402</v>
      </c>
    </row>
    <row r="697" spans="1:44" ht="12.75" customHeight="1">
      <c r="A697" s="4">
        <f>DATE(83,4,13)</f>
        <v>30419</v>
      </c>
      <c r="C697" s="2" t="s">
        <v>305</v>
      </c>
      <c r="E697" s="18">
        <v>1</v>
      </c>
      <c r="F697" s="18">
        <v>0</v>
      </c>
      <c r="G697" s="18">
        <v>3</v>
      </c>
      <c r="H697" s="18">
        <v>4</v>
      </c>
      <c r="I697" s="18">
        <v>2</v>
      </c>
      <c r="J697" s="18">
        <v>0</v>
      </c>
      <c r="K697" s="18" t="s">
        <v>162</v>
      </c>
      <c r="T697" s="3">
        <v>10</v>
      </c>
      <c r="U697" s="3">
        <v>11</v>
      </c>
      <c r="V697" s="3">
        <v>3</v>
      </c>
      <c r="X697" s="2" t="s">
        <v>1378</v>
      </c>
      <c r="Y697" s="18">
        <v>0</v>
      </c>
      <c r="Z697" s="18">
        <v>0</v>
      </c>
      <c r="AA697" s="18">
        <v>1</v>
      </c>
      <c r="AB697" s="18">
        <v>0</v>
      </c>
      <c r="AC697" s="18">
        <v>1</v>
      </c>
      <c r="AD697" s="18">
        <v>0</v>
      </c>
      <c r="AE697" s="18">
        <v>0</v>
      </c>
      <c r="AN697" s="3">
        <v>2</v>
      </c>
      <c r="AO697" s="3">
        <v>7</v>
      </c>
      <c r="AP697" s="3">
        <v>5</v>
      </c>
      <c r="AR697" s="2" t="s">
        <v>1403</v>
      </c>
    </row>
    <row r="698" spans="1:44" ht="12.75" customHeight="1">
      <c r="A698" s="4">
        <f>DATE(83,4,14)</f>
        <v>30420</v>
      </c>
      <c r="C698" s="2" t="s">
        <v>379</v>
      </c>
      <c r="E698" s="18">
        <v>2</v>
      </c>
      <c r="F698" s="18">
        <v>0</v>
      </c>
      <c r="G698" s="18">
        <v>1</v>
      </c>
      <c r="H698" s="18">
        <v>2</v>
      </c>
      <c r="I698" s="18">
        <v>2</v>
      </c>
      <c r="J698" s="18">
        <v>0</v>
      </c>
      <c r="K698" s="18" t="s">
        <v>162</v>
      </c>
      <c r="T698" s="3">
        <v>7</v>
      </c>
      <c r="U698" s="3">
        <v>9</v>
      </c>
      <c r="V698" s="3">
        <v>4</v>
      </c>
      <c r="X698" s="2" t="s">
        <v>1399</v>
      </c>
      <c r="Y698" s="18">
        <v>0</v>
      </c>
      <c r="Z698" s="18">
        <v>0</v>
      </c>
      <c r="AA698" s="18">
        <v>0</v>
      </c>
      <c r="AB698" s="18">
        <v>1</v>
      </c>
      <c r="AC698" s="18">
        <v>0</v>
      </c>
      <c r="AD698" s="18">
        <v>0</v>
      </c>
      <c r="AE698" s="18">
        <v>3</v>
      </c>
      <c r="AN698" s="3">
        <v>4</v>
      </c>
      <c r="AO698" s="3">
        <v>8</v>
      </c>
      <c r="AP698" s="3">
        <v>1</v>
      </c>
      <c r="AR698" s="2" t="s">
        <v>1404</v>
      </c>
    </row>
    <row r="699" spans="1:44" ht="12.75" customHeight="1">
      <c r="A699" s="4">
        <f>DATE(83,4,16)</f>
        <v>30422</v>
      </c>
      <c r="C699" s="2" t="s">
        <v>183</v>
      </c>
      <c r="E699" s="18">
        <v>4</v>
      </c>
      <c r="F699" s="18">
        <v>0</v>
      </c>
      <c r="G699" s="18">
        <v>0</v>
      </c>
      <c r="H699" s="18">
        <v>2</v>
      </c>
      <c r="I699" s="18">
        <v>2</v>
      </c>
      <c r="J699" s="18">
        <v>2</v>
      </c>
      <c r="K699" s="18" t="s">
        <v>162</v>
      </c>
      <c r="T699" s="3">
        <v>10</v>
      </c>
      <c r="U699" s="3">
        <v>9</v>
      </c>
      <c r="V699" s="3">
        <v>2</v>
      </c>
      <c r="X699" s="2" t="s">
        <v>1339</v>
      </c>
      <c r="Y699" s="18">
        <v>3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  <c r="AE699" s="18">
        <v>1</v>
      </c>
      <c r="AN699" s="3">
        <v>4</v>
      </c>
      <c r="AO699" s="3">
        <v>5</v>
      </c>
      <c r="AP699" s="3">
        <v>3</v>
      </c>
      <c r="AR699" s="2" t="s">
        <v>1405</v>
      </c>
    </row>
    <row r="700" spans="1:44" ht="12.75" customHeight="1">
      <c r="A700" s="4">
        <f>DATE(83,4,16)</f>
        <v>30422</v>
      </c>
      <c r="C700" s="2" t="s">
        <v>183</v>
      </c>
      <c r="E700" s="18">
        <v>0</v>
      </c>
      <c r="F700" s="18">
        <v>0</v>
      </c>
      <c r="G700" s="18">
        <v>3</v>
      </c>
      <c r="H700" s="18">
        <v>6</v>
      </c>
      <c r="I700" s="18">
        <v>1</v>
      </c>
      <c r="J700" s="18">
        <v>0</v>
      </c>
      <c r="K700" s="18" t="s">
        <v>162</v>
      </c>
      <c r="T700" s="3">
        <v>10</v>
      </c>
      <c r="U700" s="3">
        <v>13</v>
      </c>
      <c r="V700" s="3">
        <v>2</v>
      </c>
      <c r="X700" s="2" t="s">
        <v>1406</v>
      </c>
      <c r="Y700" s="18">
        <v>1</v>
      </c>
      <c r="Z700" s="18">
        <v>1</v>
      </c>
      <c r="AA700" s="18">
        <v>0</v>
      </c>
      <c r="AB700" s="18">
        <v>1</v>
      </c>
      <c r="AC700" s="18">
        <v>5</v>
      </c>
      <c r="AD700" s="18">
        <v>0</v>
      </c>
      <c r="AE700" s="18">
        <v>1</v>
      </c>
      <c r="AN700" s="3">
        <v>9</v>
      </c>
      <c r="AO700" s="3">
        <v>16</v>
      </c>
      <c r="AP700" s="3">
        <v>1</v>
      </c>
      <c r="AR700" s="2" t="s">
        <v>1407</v>
      </c>
    </row>
    <row r="701" spans="1:44" ht="12.75" customHeight="1">
      <c r="A701" s="4">
        <f>DATE(83,4,19)</f>
        <v>30425</v>
      </c>
      <c r="C701" s="2" t="s">
        <v>388</v>
      </c>
      <c r="E701" s="18">
        <v>4</v>
      </c>
      <c r="F701" s="18">
        <v>2</v>
      </c>
      <c r="G701" s="18">
        <v>8</v>
      </c>
      <c r="H701" s="18">
        <v>1</v>
      </c>
      <c r="I701" s="18" t="s">
        <v>162</v>
      </c>
      <c r="T701" s="3">
        <v>15</v>
      </c>
      <c r="U701" s="3">
        <v>18</v>
      </c>
      <c r="V701" s="3">
        <v>1</v>
      </c>
      <c r="X701" s="2" t="s">
        <v>1366</v>
      </c>
      <c r="Y701" s="18">
        <v>1</v>
      </c>
      <c r="Z701" s="18">
        <v>1</v>
      </c>
      <c r="AA701" s="18">
        <v>0</v>
      </c>
      <c r="AB701" s="18">
        <v>0</v>
      </c>
      <c r="AC701" s="18">
        <v>0</v>
      </c>
      <c r="AN701" s="3">
        <v>2</v>
      </c>
      <c r="AO701" s="3">
        <v>2</v>
      </c>
      <c r="AP701" s="3">
        <v>1</v>
      </c>
      <c r="AR701" s="2" t="s">
        <v>1408</v>
      </c>
    </row>
    <row r="702" spans="1:44" ht="12.75" customHeight="1">
      <c r="A702" s="4">
        <f>DATE(83,4,21)</f>
        <v>30427</v>
      </c>
      <c r="B702" s="2" t="s">
        <v>152</v>
      </c>
      <c r="C702" s="2" t="s">
        <v>174</v>
      </c>
      <c r="E702" s="18">
        <v>1</v>
      </c>
      <c r="F702" s="18">
        <v>1</v>
      </c>
      <c r="G702" s="18">
        <v>4</v>
      </c>
      <c r="H702" s="18">
        <v>2</v>
      </c>
      <c r="I702" s="18">
        <v>9</v>
      </c>
      <c r="J702" s="18" t="s">
        <v>311</v>
      </c>
      <c r="T702" s="3">
        <v>17</v>
      </c>
      <c r="U702" s="3">
        <v>16</v>
      </c>
      <c r="V702" s="3">
        <v>2</v>
      </c>
      <c r="X702" s="2" t="s">
        <v>1334</v>
      </c>
      <c r="Y702" s="18">
        <v>0</v>
      </c>
      <c r="Z702" s="18">
        <v>0</v>
      </c>
      <c r="AA702" s="18">
        <v>1</v>
      </c>
      <c r="AB702" s="18">
        <v>0</v>
      </c>
      <c r="AC702" s="18">
        <v>2</v>
      </c>
      <c r="AN702" s="3">
        <v>3</v>
      </c>
      <c r="AO702" s="3">
        <v>2</v>
      </c>
      <c r="AP702" s="3">
        <v>3</v>
      </c>
      <c r="AR702" s="2" t="s">
        <v>1409</v>
      </c>
    </row>
    <row r="703" spans="1:44" ht="12.75" customHeight="1">
      <c r="A703" s="4">
        <f>DATE(83,4,23)</f>
        <v>30429</v>
      </c>
      <c r="C703" s="2" t="s">
        <v>367</v>
      </c>
      <c r="E703" s="18">
        <v>0</v>
      </c>
      <c r="F703" s="18">
        <v>8</v>
      </c>
      <c r="G703" s="18">
        <v>3</v>
      </c>
      <c r="H703" s="18">
        <v>3</v>
      </c>
      <c r="I703" s="18" t="s">
        <v>162</v>
      </c>
      <c r="T703" s="3">
        <v>14</v>
      </c>
      <c r="U703" s="3">
        <v>11</v>
      </c>
      <c r="V703" s="3">
        <v>3</v>
      </c>
      <c r="X703" s="2" t="s">
        <v>1410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N703" s="3">
        <v>0</v>
      </c>
      <c r="AO703" s="3">
        <v>2</v>
      </c>
      <c r="AP703" s="3">
        <v>4</v>
      </c>
      <c r="AR703" s="2" t="s">
        <v>1411</v>
      </c>
    </row>
    <row r="704" spans="1:44" ht="12.75" customHeight="1">
      <c r="A704" s="4">
        <f>DATE(83,4,23)</f>
        <v>30429</v>
      </c>
      <c r="C704" s="2" t="s">
        <v>367</v>
      </c>
      <c r="E704" s="18">
        <v>3</v>
      </c>
      <c r="F704" s="18">
        <v>2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T704" s="3">
        <v>5</v>
      </c>
      <c r="U704" s="3">
        <v>10</v>
      </c>
      <c r="V704" s="3">
        <v>5</v>
      </c>
      <c r="X704" s="2" t="s">
        <v>1412</v>
      </c>
      <c r="Y704" s="18">
        <v>0</v>
      </c>
      <c r="Z704" s="18">
        <v>2</v>
      </c>
      <c r="AA704" s="18">
        <v>2</v>
      </c>
      <c r="AB704" s="18">
        <v>0</v>
      </c>
      <c r="AC704" s="18">
        <v>3</v>
      </c>
      <c r="AD704" s="18">
        <v>0</v>
      </c>
      <c r="AE704" s="18">
        <v>4</v>
      </c>
      <c r="AN704" s="3">
        <v>11</v>
      </c>
      <c r="AO704" s="3">
        <v>12</v>
      </c>
      <c r="AP704" s="3">
        <v>2</v>
      </c>
      <c r="AR704" s="2" t="s">
        <v>1413</v>
      </c>
    </row>
    <row r="705" spans="1:44" ht="12.75" customHeight="1">
      <c r="A705" s="4">
        <f>DATE(83,4,25)</f>
        <v>30431</v>
      </c>
      <c r="B705" s="2" t="s">
        <v>152</v>
      </c>
      <c r="C705" s="2" t="s">
        <v>169</v>
      </c>
      <c r="E705" s="18">
        <v>0</v>
      </c>
      <c r="F705" s="18">
        <v>1</v>
      </c>
      <c r="G705" s="18">
        <v>3</v>
      </c>
      <c r="H705" s="18">
        <v>0</v>
      </c>
      <c r="I705" s="18">
        <v>0</v>
      </c>
      <c r="J705" s="18">
        <v>0</v>
      </c>
      <c r="K705" s="18">
        <v>0</v>
      </c>
      <c r="T705" s="3">
        <v>4</v>
      </c>
      <c r="U705" s="3">
        <v>8</v>
      </c>
      <c r="V705" s="3">
        <v>0</v>
      </c>
      <c r="X705" s="2" t="s">
        <v>1378</v>
      </c>
      <c r="Y705" s="18"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1</v>
      </c>
      <c r="AN705" s="3">
        <v>1</v>
      </c>
      <c r="AO705" s="3">
        <v>3</v>
      </c>
      <c r="AP705" s="3">
        <v>0</v>
      </c>
      <c r="AR705" s="2" t="s">
        <v>1414</v>
      </c>
    </row>
    <row r="706" spans="1:44" ht="12.75" customHeight="1">
      <c r="A706" s="4">
        <f>DATE(83,4,26)</f>
        <v>30432</v>
      </c>
      <c r="C706" s="2" t="s">
        <v>374</v>
      </c>
      <c r="E706" s="18">
        <v>2</v>
      </c>
      <c r="F706" s="18">
        <v>0</v>
      </c>
      <c r="G706" s="18">
        <v>4</v>
      </c>
      <c r="H706" s="18">
        <v>7</v>
      </c>
      <c r="I706" s="18" t="s">
        <v>162</v>
      </c>
      <c r="T706" s="3">
        <v>13</v>
      </c>
      <c r="U706" s="3">
        <v>15</v>
      </c>
      <c r="V706" s="3">
        <v>1</v>
      </c>
      <c r="X706" s="2" t="s">
        <v>1334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N706" s="3">
        <v>0</v>
      </c>
      <c r="AO706" s="3">
        <v>2</v>
      </c>
      <c r="AP706" s="3">
        <v>0</v>
      </c>
      <c r="AR706" s="2" t="s">
        <v>1415</v>
      </c>
    </row>
    <row r="707" spans="1:44" ht="12.75" customHeight="1">
      <c r="A707" s="4">
        <f>DATE(83,4,28)</f>
        <v>30434</v>
      </c>
      <c r="B707" s="2" t="s">
        <v>152</v>
      </c>
      <c r="C707" s="2" t="s">
        <v>236</v>
      </c>
      <c r="E707" s="18">
        <v>5</v>
      </c>
      <c r="F707" s="18">
        <v>2</v>
      </c>
      <c r="G707" s="18">
        <v>2</v>
      </c>
      <c r="H707" s="18">
        <v>0</v>
      </c>
      <c r="I707" s="18">
        <v>0</v>
      </c>
      <c r="J707" s="18">
        <v>0</v>
      </c>
      <c r="K707" s="18">
        <v>3</v>
      </c>
      <c r="T707" s="3">
        <v>12</v>
      </c>
      <c r="U707" s="3">
        <v>9</v>
      </c>
      <c r="V707" s="3">
        <v>1</v>
      </c>
      <c r="X707" s="2" t="s">
        <v>1416</v>
      </c>
      <c r="Y707" s="18">
        <v>0</v>
      </c>
      <c r="Z707" s="18">
        <v>0</v>
      </c>
      <c r="AA707" s="18">
        <v>3</v>
      </c>
      <c r="AB707" s="18">
        <v>2</v>
      </c>
      <c r="AC707" s="18">
        <v>0</v>
      </c>
      <c r="AD707" s="18">
        <v>0</v>
      </c>
      <c r="AE707" s="18">
        <v>0</v>
      </c>
      <c r="AN707" s="3">
        <v>5</v>
      </c>
      <c r="AO707" s="3">
        <v>11</v>
      </c>
      <c r="AP707" s="3">
        <v>4</v>
      </c>
      <c r="AR707" s="2" t="s">
        <v>1417</v>
      </c>
    </row>
    <row r="708" spans="1:44" ht="12.75" customHeight="1">
      <c r="A708" s="4">
        <f>DATE(83,4,30)</f>
        <v>30436</v>
      </c>
      <c r="C708" s="2" t="s">
        <v>304</v>
      </c>
      <c r="E708" s="18">
        <v>1</v>
      </c>
      <c r="F708" s="18">
        <v>1</v>
      </c>
      <c r="G708" s="18">
        <v>1</v>
      </c>
      <c r="H708" s="18">
        <v>3</v>
      </c>
      <c r="I708" s="18">
        <v>0</v>
      </c>
      <c r="J708" s="18">
        <v>0</v>
      </c>
      <c r="K708" s="18">
        <v>0</v>
      </c>
      <c r="T708" s="3">
        <v>6</v>
      </c>
      <c r="U708" s="3">
        <v>7</v>
      </c>
      <c r="V708" s="3">
        <v>2</v>
      </c>
      <c r="X708" s="2" t="s">
        <v>1378</v>
      </c>
      <c r="Y708" s="18">
        <v>0</v>
      </c>
      <c r="Z708" s="18">
        <v>0</v>
      </c>
      <c r="AA708" s="18">
        <v>2</v>
      </c>
      <c r="AB708" s="18">
        <v>1</v>
      </c>
      <c r="AC708" s="18">
        <v>1</v>
      </c>
      <c r="AD708" s="18">
        <v>2</v>
      </c>
      <c r="AE708" s="18">
        <v>1</v>
      </c>
      <c r="AN708" s="3">
        <v>7</v>
      </c>
      <c r="AO708" s="3">
        <v>11</v>
      </c>
      <c r="AP708" s="3">
        <v>2</v>
      </c>
      <c r="AR708" s="2" t="s">
        <v>1418</v>
      </c>
    </row>
    <row r="709" spans="1:44" ht="12.75" customHeight="1">
      <c r="A709" s="4">
        <f>DATE(83,5,5)</f>
        <v>30441</v>
      </c>
      <c r="C709" s="2" t="s">
        <v>175</v>
      </c>
      <c r="E709" s="18">
        <v>1</v>
      </c>
      <c r="F709" s="18">
        <v>3</v>
      </c>
      <c r="G709" s="18">
        <v>0</v>
      </c>
      <c r="H709" s="18">
        <v>0</v>
      </c>
      <c r="I709" s="18">
        <v>0</v>
      </c>
      <c r="J709" s="18">
        <v>0</v>
      </c>
      <c r="K709" s="18" t="s">
        <v>162</v>
      </c>
      <c r="T709" s="3">
        <v>4</v>
      </c>
      <c r="U709" s="3">
        <v>5</v>
      </c>
      <c r="V709" s="3">
        <v>3</v>
      </c>
      <c r="X709" s="2" t="s">
        <v>1339</v>
      </c>
      <c r="Y709" s="18">
        <v>0</v>
      </c>
      <c r="Z709" s="18">
        <v>0</v>
      </c>
      <c r="AA709" s="18">
        <v>0</v>
      </c>
      <c r="AB709" s="18">
        <v>1</v>
      </c>
      <c r="AC709" s="18">
        <v>0</v>
      </c>
      <c r="AD709" s="18">
        <v>1</v>
      </c>
      <c r="AE709" s="18">
        <v>0</v>
      </c>
      <c r="AN709" s="3">
        <v>2</v>
      </c>
      <c r="AO709" s="3">
        <v>2</v>
      </c>
      <c r="AP709" s="3">
        <v>2</v>
      </c>
      <c r="AR709" s="2" t="s">
        <v>1372</v>
      </c>
    </row>
    <row r="710" spans="1:44" ht="12.75" customHeight="1">
      <c r="A710" s="4">
        <f>DATE(83,5,6)</f>
        <v>30442</v>
      </c>
      <c r="B710" s="2" t="s">
        <v>152</v>
      </c>
      <c r="C710" s="2" t="s">
        <v>305</v>
      </c>
      <c r="E710" s="18">
        <v>0</v>
      </c>
      <c r="F710" s="18">
        <v>0</v>
      </c>
      <c r="G710" s="18">
        <v>0</v>
      </c>
      <c r="H710" s="18">
        <v>2</v>
      </c>
      <c r="I710" s="18">
        <v>0</v>
      </c>
      <c r="J710" s="18">
        <v>0</v>
      </c>
      <c r="K710" s="18">
        <v>0</v>
      </c>
      <c r="T710" s="3">
        <v>2</v>
      </c>
      <c r="U710" s="3">
        <v>7</v>
      </c>
      <c r="V710" s="3">
        <v>6</v>
      </c>
      <c r="X710" s="2" t="s">
        <v>1429</v>
      </c>
      <c r="Y710" s="18">
        <v>0</v>
      </c>
      <c r="Z710" s="18">
        <v>0</v>
      </c>
      <c r="AA710" s="18">
        <v>0</v>
      </c>
      <c r="AB710" s="18">
        <v>1</v>
      </c>
      <c r="AC710" s="18">
        <v>2</v>
      </c>
      <c r="AD710" s="18">
        <v>4</v>
      </c>
      <c r="AE710" s="18" t="s">
        <v>162</v>
      </c>
      <c r="AN710" s="3">
        <v>7</v>
      </c>
      <c r="AO710" s="3">
        <v>7</v>
      </c>
      <c r="AP710" s="3">
        <v>0</v>
      </c>
      <c r="AR710" s="2" t="s">
        <v>1430</v>
      </c>
    </row>
    <row r="711" spans="1:44" ht="12.75" customHeight="1">
      <c r="A711" s="4">
        <f>DATE(83,5,7)</f>
        <v>30443</v>
      </c>
      <c r="B711" s="2" t="s">
        <v>152</v>
      </c>
      <c r="C711" s="2" t="s">
        <v>367</v>
      </c>
      <c r="E711" s="18">
        <v>2</v>
      </c>
      <c r="F711" s="18">
        <v>0</v>
      </c>
      <c r="G711" s="18">
        <v>1</v>
      </c>
      <c r="H711" s="18">
        <v>1</v>
      </c>
      <c r="I711" s="18">
        <v>0</v>
      </c>
      <c r="J711" s="18">
        <v>1</v>
      </c>
      <c r="K711" s="18">
        <v>0</v>
      </c>
      <c r="T711" s="3">
        <v>5</v>
      </c>
      <c r="U711" s="3">
        <v>8</v>
      </c>
      <c r="V711" s="3">
        <v>2</v>
      </c>
      <c r="X711" s="2" t="s">
        <v>1399</v>
      </c>
      <c r="Y711" s="18">
        <v>0</v>
      </c>
      <c r="Z711" s="18">
        <v>3</v>
      </c>
      <c r="AA711" s="18">
        <v>0</v>
      </c>
      <c r="AB711" s="18">
        <v>0</v>
      </c>
      <c r="AC711" s="18">
        <v>0</v>
      </c>
      <c r="AD711" s="18">
        <v>0</v>
      </c>
      <c r="AE711" s="18">
        <v>0</v>
      </c>
      <c r="AN711" s="3">
        <v>3</v>
      </c>
      <c r="AO711" s="3">
        <v>2</v>
      </c>
      <c r="AP711" s="3">
        <v>3</v>
      </c>
      <c r="AR711" s="2" t="s">
        <v>1431</v>
      </c>
    </row>
    <row r="712" spans="1:44" ht="12.75" customHeight="1">
      <c r="A712" s="4">
        <f>DATE(83,5,10)</f>
        <v>30446</v>
      </c>
      <c r="B712" s="2" t="s">
        <v>152</v>
      </c>
      <c r="C712" s="2" t="s">
        <v>379</v>
      </c>
      <c r="E712" s="18">
        <v>0</v>
      </c>
      <c r="F712" s="18">
        <v>0</v>
      </c>
      <c r="G712" s="18">
        <v>0</v>
      </c>
      <c r="H712" s="18">
        <v>2</v>
      </c>
      <c r="I712" s="18">
        <v>2</v>
      </c>
      <c r="J712" s="18">
        <v>3</v>
      </c>
      <c r="K712" s="18">
        <v>2</v>
      </c>
      <c r="T712" s="3">
        <v>9</v>
      </c>
      <c r="U712" s="3">
        <v>6</v>
      </c>
      <c r="V712" s="3">
        <v>3</v>
      </c>
      <c r="X712" s="2" t="s">
        <v>1432</v>
      </c>
      <c r="Y712" s="18">
        <v>0</v>
      </c>
      <c r="Z712" s="18">
        <v>0</v>
      </c>
      <c r="AA712" s="18">
        <v>0</v>
      </c>
      <c r="AB712" s="18">
        <v>0</v>
      </c>
      <c r="AC712" s="18">
        <v>0</v>
      </c>
      <c r="AD712" s="18">
        <v>7</v>
      </c>
      <c r="AE712" s="18">
        <v>0</v>
      </c>
      <c r="AN712" s="3">
        <v>7</v>
      </c>
      <c r="AO712" s="3">
        <v>8</v>
      </c>
      <c r="AP712" s="3">
        <v>5</v>
      </c>
      <c r="AR712" s="2" t="s">
        <v>1433</v>
      </c>
    </row>
    <row r="713" spans="1:44" ht="12.75" customHeight="1">
      <c r="A713" s="4">
        <f>DATE(83,5,12)</f>
        <v>30448</v>
      </c>
      <c r="B713" s="2" t="s">
        <v>152</v>
      </c>
      <c r="C713" s="2" t="s">
        <v>388</v>
      </c>
      <c r="E713" s="18">
        <v>3</v>
      </c>
      <c r="F713" s="18">
        <v>5</v>
      </c>
      <c r="G713" s="18">
        <v>3</v>
      </c>
      <c r="H713" s="18">
        <v>2</v>
      </c>
      <c r="I713" s="18">
        <v>3</v>
      </c>
      <c r="J713" s="18">
        <v>1</v>
      </c>
      <c r="K713" s="18">
        <v>0</v>
      </c>
      <c r="T713" s="3">
        <v>17</v>
      </c>
      <c r="U713" s="3">
        <v>17</v>
      </c>
      <c r="V713" s="3">
        <v>4</v>
      </c>
      <c r="X713" s="2" t="s">
        <v>1399</v>
      </c>
      <c r="Y713" s="18">
        <v>0</v>
      </c>
      <c r="Z713" s="18">
        <v>6</v>
      </c>
      <c r="AA713" s="18">
        <v>1</v>
      </c>
      <c r="AB713" s="18">
        <v>0</v>
      </c>
      <c r="AC713" s="18">
        <v>3</v>
      </c>
      <c r="AD713" s="18">
        <v>0</v>
      </c>
      <c r="AE713" s="18">
        <v>0</v>
      </c>
      <c r="AN713" s="3">
        <v>10</v>
      </c>
      <c r="AO713" s="3">
        <v>10</v>
      </c>
      <c r="AP713" s="3">
        <v>5</v>
      </c>
      <c r="AR713" s="2" t="s">
        <v>1434</v>
      </c>
    </row>
    <row r="714" spans="1:44" ht="12.75" customHeight="1">
      <c r="A714" s="4">
        <f>DATE(83,5,14)</f>
        <v>30450</v>
      </c>
      <c r="B714" s="2" t="s">
        <v>152</v>
      </c>
      <c r="C714" s="2" t="s">
        <v>183</v>
      </c>
      <c r="E714" s="18">
        <v>0</v>
      </c>
      <c r="F714" s="18">
        <v>1</v>
      </c>
      <c r="G714" s="18">
        <v>2</v>
      </c>
      <c r="H714" s="18">
        <v>2</v>
      </c>
      <c r="I714" s="18">
        <v>2</v>
      </c>
      <c r="J714" s="18">
        <v>1</v>
      </c>
      <c r="K714" s="18">
        <v>0</v>
      </c>
      <c r="T714" s="3">
        <v>8</v>
      </c>
      <c r="U714" s="3">
        <v>10</v>
      </c>
      <c r="V714" s="3">
        <v>1</v>
      </c>
      <c r="X714" s="2" t="s">
        <v>1378</v>
      </c>
      <c r="Y714" s="18">
        <v>1</v>
      </c>
      <c r="Z714" s="18">
        <v>1</v>
      </c>
      <c r="AA714" s="18">
        <v>0</v>
      </c>
      <c r="AB714" s="18">
        <v>0</v>
      </c>
      <c r="AC714" s="18">
        <v>0</v>
      </c>
      <c r="AD714" s="18">
        <v>0</v>
      </c>
      <c r="AE714" s="18">
        <v>0</v>
      </c>
      <c r="AN714" s="3">
        <v>2</v>
      </c>
      <c r="AO714" s="3">
        <v>5</v>
      </c>
      <c r="AP714" s="3">
        <v>1</v>
      </c>
      <c r="AR714" s="2" t="s">
        <v>1435</v>
      </c>
    </row>
    <row r="715" spans="1:44" ht="12.75" customHeight="1">
      <c r="A715" s="4">
        <f>DATE(83,5,14)</f>
        <v>30450</v>
      </c>
      <c r="B715" s="2" t="s">
        <v>152</v>
      </c>
      <c r="C715" s="2" t="s">
        <v>183</v>
      </c>
      <c r="E715" s="18">
        <v>0</v>
      </c>
      <c r="F715" s="18">
        <v>0</v>
      </c>
      <c r="G715" s="18">
        <v>2</v>
      </c>
      <c r="H715" s="18">
        <v>0</v>
      </c>
      <c r="I715" s="18">
        <v>6</v>
      </c>
      <c r="J715" s="18">
        <v>2</v>
      </c>
      <c r="K715" s="18">
        <v>0</v>
      </c>
      <c r="T715" s="3">
        <v>10</v>
      </c>
      <c r="U715" s="3">
        <v>8</v>
      </c>
      <c r="V715" s="3">
        <v>0</v>
      </c>
      <c r="X715" s="2" t="s">
        <v>1436</v>
      </c>
      <c r="Y715" s="18">
        <v>0</v>
      </c>
      <c r="Z715" s="18">
        <v>5</v>
      </c>
      <c r="AA715" s="18">
        <v>2</v>
      </c>
      <c r="AB715" s="18">
        <v>2</v>
      </c>
      <c r="AC715" s="18">
        <v>0</v>
      </c>
      <c r="AD715" s="18">
        <v>0</v>
      </c>
      <c r="AE715" s="18">
        <v>2</v>
      </c>
      <c r="AN715" s="3">
        <v>11</v>
      </c>
      <c r="AO715" s="3">
        <v>12</v>
      </c>
      <c r="AP715" s="3">
        <v>4</v>
      </c>
      <c r="AR715" s="2" t="s">
        <v>1437</v>
      </c>
    </row>
    <row r="716" spans="1:44" ht="12.75" customHeight="1">
      <c r="A716" s="4">
        <f>DATE(83,5,17)</f>
        <v>30453</v>
      </c>
      <c r="C716" s="2" t="s">
        <v>174</v>
      </c>
      <c r="E716" s="18">
        <v>0</v>
      </c>
      <c r="F716" s="18">
        <v>0</v>
      </c>
      <c r="G716" s="18">
        <v>0</v>
      </c>
      <c r="H716" s="18">
        <v>5</v>
      </c>
      <c r="I716" s="18">
        <v>0</v>
      </c>
      <c r="J716" s="18">
        <v>0</v>
      </c>
      <c r="K716" s="18" t="s">
        <v>162</v>
      </c>
      <c r="T716" s="3">
        <v>5</v>
      </c>
      <c r="U716" s="3">
        <v>3</v>
      </c>
      <c r="V716" s="3">
        <v>3</v>
      </c>
      <c r="X716" s="2" t="s">
        <v>1378</v>
      </c>
      <c r="Y716" s="18">
        <v>1</v>
      </c>
      <c r="Z716" s="18">
        <v>0</v>
      </c>
      <c r="AA716" s="18">
        <v>0</v>
      </c>
      <c r="AB716" s="18">
        <v>1</v>
      </c>
      <c r="AC716" s="18">
        <v>0</v>
      </c>
      <c r="AD716" s="18">
        <v>1</v>
      </c>
      <c r="AE716" s="18">
        <v>0</v>
      </c>
      <c r="AN716" s="3">
        <v>3</v>
      </c>
      <c r="AO716" s="3">
        <v>5</v>
      </c>
      <c r="AP716" s="3">
        <v>0</v>
      </c>
      <c r="AR716" s="2" t="s">
        <v>1438</v>
      </c>
    </row>
    <row r="717" spans="1:44" ht="12.75" customHeight="1">
      <c r="A717" s="4">
        <f>DATE(83,5,18)</f>
        <v>30454</v>
      </c>
      <c r="B717" s="2" t="s">
        <v>239</v>
      </c>
      <c r="C717" s="2" t="s">
        <v>183</v>
      </c>
      <c r="D717" s="2" t="s">
        <v>258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T717" s="3">
        <v>0</v>
      </c>
      <c r="U717" s="3">
        <v>4</v>
      </c>
      <c r="V717" s="3">
        <v>1</v>
      </c>
      <c r="X717" s="2" t="s">
        <v>1339</v>
      </c>
      <c r="Y717" s="18">
        <v>1</v>
      </c>
      <c r="Z717" s="18">
        <v>0</v>
      </c>
      <c r="AA717" s="18">
        <v>0</v>
      </c>
      <c r="AB717" s="18">
        <v>0</v>
      </c>
      <c r="AC717" s="18">
        <v>3</v>
      </c>
      <c r="AD717" s="18">
        <v>0</v>
      </c>
      <c r="AE717" s="18">
        <v>2</v>
      </c>
      <c r="AN717" s="3">
        <v>6</v>
      </c>
      <c r="AO717" s="3">
        <v>6</v>
      </c>
      <c r="AP717" s="3">
        <v>0</v>
      </c>
      <c r="AR717" s="2" t="s">
        <v>1439</v>
      </c>
    </row>
    <row r="718" spans="1:44" ht="12.75" customHeight="1">
      <c r="A718" s="4">
        <f>DATE(83,5,21)</f>
        <v>30457</v>
      </c>
      <c r="B718" s="2" t="s">
        <v>152</v>
      </c>
      <c r="C718" s="2" t="s">
        <v>297</v>
      </c>
      <c r="E718" s="18">
        <v>0</v>
      </c>
      <c r="F718" s="18">
        <v>1</v>
      </c>
      <c r="G718" s="18">
        <v>1</v>
      </c>
      <c r="H718" s="18">
        <v>3</v>
      </c>
      <c r="I718" s="18">
        <v>1</v>
      </c>
      <c r="J718" s="18">
        <v>4</v>
      </c>
      <c r="T718" s="3">
        <v>10</v>
      </c>
      <c r="U718" s="3">
        <v>18</v>
      </c>
      <c r="V718" s="3">
        <v>1</v>
      </c>
      <c r="X718" s="2" t="s">
        <v>1366</v>
      </c>
      <c r="Y718" s="18">
        <v>0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N718" s="3">
        <v>0</v>
      </c>
      <c r="AO718" s="3">
        <v>3</v>
      </c>
      <c r="AP718" s="3">
        <v>2</v>
      </c>
      <c r="AR718" s="2" t="s">
        <v>312</v>
      </c>
    </row>
    <row r="719" spans="1:44" ht="12.75" customHeight="1">
      <c r="A719" s="4">
        <f>DATE(83,5,21)</f>
        <v>30457</v>
      </c>
      <c r="B719" s="2" t="s">
        <v>152</v>
      </c>
      <c r="C719" s="2" t="s">
        <v>297</v>
      </c>
      <c r="E719" s="18">
        <v>5</v>
      </c>
      <c r="F719" s="18">
        <v>4</v>
      </c>
      <c r="G719" s="18">
        <v>3</v>
      </c>
      <c r="H719" s="18">
        <v>2</v>
      </c>
      <c r="I719" s="18">
        <v>6</v>
      </c>
      <c r="T719" s="3">
        <v>20</v>
      </c>
      <c r="U719" s="3">
        <v>13</v>
      </c>
      <c r="V719" s="3">
        <v>2</v>
      </c>
      <c r="X719" s="2" t="s">
        <v>1410</v>
      </c>
      <c r="Y719" s="18">
        <v>0</v>
      </c>
      <c r="Z719" s="18">
        <v>0</v>
      </c>
      <c r="AA719" s="18">
        <v>0</v>
      </c>
      <c r="AB719" s="18">
        <v>0</v>
      </c>
      <c r="AC719" s="18">
        <v>0</v>
      </c>
      <c r="AN719" s="3">
        <v>0</v>
      </c>
      <c r="AO719" s="3">
        <v>4</v>
      </c>
      <c r="AP719" s="3">
        <v>4</v>
      </c>
      <c r="AR719" s="2" t="s">
        <v>313</v>
      </c>
    </row>
    <row r="720" spans="1:44" ht="12.75" customHeight="1">
      <c r="A720" s="4">
        <f>DATE(83,5,24)</f>
        <v>30460</v>
      </c>
      <c r="B720" s="2" t="s">
        <v>152</v>
      </c>
      <c r="C720" s="2" t="s">
        <v>374</v>
      </c>
      <c r="E720" s="18">
        <v>0</v>
      </c>
      <c r="F720" s="18">
        <v>0</v>
      </c>
      <c r="G720" s="18">
        <v>3</v>
      </c>
      <c r="H720" s="18">
        <v>0</v>
      </c>
      <c r="I720" s="18">
        <v>1</v>
      </c>
      <c r="J720" s="18">
        <v>3</v>
      </c>
      <c r="K720" s="18">
        <v>0</v>
      </c>
      <c r="T720" s="3">
        <v>7</v>
      </c>
      <c r="U720" s="3">
        <v>6</v>
      </c>
      <c r="V720" s="3">
        <v>4</v>
      </c>
      <c r="X720" s="2" t="s">
        <v>1339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2</v>
      </c>
      <c r="AE720" s="18">
        <v>0</v>
      </c>
      <c r="AN720" s="3">
        <v>2</v>
      </c>
      <c r="AO720" s="3">
        <v>3</v>
      </c>
      <c r="AP720" s="3">
        <v>2</v>
      </c>
      <c r="AR720" s="2" t="s">
        <v>1440</v>
      </c>
    </row>
    <row r="721" spans="1:44" ht="12.75" customHeight="1">
      <c r="A721" s="4">
        <f>DATE(83,6,1)</f>
        <v>30468</v>
      </c>
      <c r="B721" s="2" t="s">
        <v>239</v>
      </c>
      <c r="C721" s="2" t="s">
        <v>175</v>
      </c>
      <c r="D721" s="2" t="s">
        <v>257</v>
      </c>
      <c r="E721" s="18">
        <v>1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T721" s="3">
        <v>1</v>
      </c>
      <c r="U721" s="3">
        <v>2</v>
      </c>
      <c r="V721" s="3">
        <v>1</v>
      </c>
      <c r="X721" s="2" t="s">
        <v>1339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N721" s="3">
        <v>0</v>
      </c>
      <c r="AO721" s="3">
        <v>4</v>
      </c>
      <c r="AP721" s="3">
        <v>2</v>
      </c>
      <c r="AR721" s="2" t="s">
        <v>1441</v>
      </c>
    </row>
    <row r="722" ht="12.75" customHeight="1">
      <c r="A722" s="4"/>
    </row>
    <row r="723" spans="1:45" ht="12.75" customHeight="1">
      <c r="A723" s="4">
        <f>DATE(84,3,29)</f>
        <v>30770</v>
      </c>
      <c r="B723" s="2" t="s">
        <v>152</v>
      </c>
      <c r="C723" s="2" t="s">
        <v>1442</v>
      </c>
      <c r="E723" s="18">
        <v>0</v>
      </c>
      <c r="F723" s="18">
        <v>5</v>
      </c>
      <c r="G723" s="18">
        <v>0</v>
      </c>
      <c r="H723" s="18">
        <v>0</v>
      </c>
      <c r="I723" s="18">
        <v>0</v>
      </c>
      <c r="J723" s="18">
        <v>0</v>
      </c>
      <c r="K723" s="18">
        <v>4</v>
      </c>
      <c r="T723" s="3">
        <v>9</v>
      </c>
      <c r="U723" s="3">
        <v>9</v>
      </c>
      <c r="V723" s="3">
        <v>3</v>
      </c>
      <c r="X723" s="2" t="s">
        <v>1443</v>
      </c>
      <c r="Y723" s="18">
        <v>0</v>
      </c>
      <c r="Z723" s="18">
        <v>2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N723" s="3">
        <v>2</v>
      </c>
      <c r="AO723" s="3">
        <v>0</v>
      </c>
      <c r="AP723" s="3">
        <v>6</v>
      </c>
      <c r="AR723" s="2" t="s">
        <v>314</v>
      </c>
      <c r="AS723" s="2" t="s">
        <v>1040</v>
      </c>
    </row>
    <row r="724" spans="1:46" ht="12.75" customHeight="1">
      <c r="A724" s="4">
        <f>DATE(84,3,30)</f>
        <v>30771</v>
      </c>
      <c r="B724" s="2" t="s">
        <v>239</v>
      </c>
      <c r="C724" s="2" t="s">
        <v>1444</v>
      </c>
      <c r="E724" s="18">
        <v>0</v>
      </c>
      <c r="F724" s="18">
        <v>3</v>
      </c>
      <c r="G724" s="18">
        <v>3</v>
      </c>
      <c r="H724" s="18">
        <v>0</v>
      </c>
      <c r="I724" s="18">
        <v>1</v>
      </c>
      <c r="J724" s="18">
        <v>0</v>
      </c>
      <c r="K724" s="18">
        <v>5</v>
      </c>
      <c r="T724" s="3">
        <v>12</v>
      </c>
      <c r="U724" s="3">
        <v>7</v>
      </c>
      <c r="V724" s="3">
        <v>5</v>
      </c>
      <c r="X724" s="2" t="s">
        <v>1399</v>
      </c>
      <c r="Y724" s="18">
        <v>1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1</v>
      </c>
      <c r="AN724" s="3">
        <v>2</v>
      </c>
      <c r="AO724" s="3">
        <v>5</v>
      </c>
      <c r="AP724" s="3">
        <v>3</v>
      </c>
      <c r="AR724" s="2" t="s">
        <v>1445</v>
      </c>
      <c r="AS724" s="2" t="s">
        <v>294</v>
      </c>
      <c r="AT724" s="2" t="s">
        <v>167</v>
      </c>
    </row>
    <row r="725" spans="1:45" ht="12.75" customHeight="1">
      <c r="A725" s="4">
        <f>DATE(84,3,30)</f>
        <v>30771</v>
      </c>
      <c r="B725" s="2" t="s">
        <v>152</v>
      </c>
      <c r="C725" s="2" t="s">
        <v>1240</v>
      </c>
      <c r="E725" s="18">
        <v>2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2</v>
      </c>
      <c r="T725" s="3">
        <v>4</v>
      </c>
      <c r="U725" s="3">
        <v>9</v>
      </c>
      <c r="V725" s="3">
        <v>1</v>
      </c>
      <c r="X725" s="2" t="s">
        <v>1446</v>
      </c>
      <c r="Y725" s="18">
        <v>0</v>
      </c>
      <c r="Z725" s="18">
        <v>0</v>
      </c>
      <c r="AA725" s="18">
        <v>1</v>
      </c>
      <c r="AB725" s="18">
        <v>0</v>
      </c>
      <c r="AC725" s="18">
        <v>0</v>
      </c>
      <c r="AD725" s="18">
        <v>0</v>
      </c>
      <c r="AE725" s="18">
        <v>1</v>
      </c>
      <c r="AN725" s="3">
        <v>2</v>
      </c>
      <c r="AO725" s="3">
        <v>7</v>
      </c>
      <c r="AP725" s="3">
        <v>2</v>
      </c>
      <c r="AR725" s="2" t="s">
        <v>315</v>
      </c>
      <c r="AS725" s="2" t="s">
        <v>1069</v>
      </c>
    </row>
    <row r="726" spans="1:44" ht="12.75" customHeight="1">
      <c r="A726" s="4">
        <f>DATE(84,3,31)</f>
        <v>30772</v>
      </c>
      <c r="B726" s="2" t="s">
        <v>152</v>
      </c>
      <c r="C726" s="2" t="s">
        <v>1447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1</v>
      </c>
      <c r="T726" s="3">
        <v>1</v>
      </c>
      <c r="U726" s="3">
        <v>4</v>
      </c>
      <c r="V726" s="3">
        <v>2</v>
      </c>
      <c r="X726" s="2" t="s">
        <v>1448</v>
      </c>
      <c r="Y726" s="18">
        <v>3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 t="s">
        <v>162</v>
      </c>
      <c r="AN726" s="3">
        <v>3</v>
      </c>
      <c r="AO726" s="3">
        <v>5</v>
      </c>
      <c r="AP726" s="3">
        <v>1</v>
      </c>
      <c r="AR726" s="2" t="s">
        <v>1449</v>
      </c>
    </row>
    <row r="727" spans="1:44" ht="12.75" customHeight="1">
      <c r="A727" s="4">
        <f>DATE(84,3,31)</f>
        <v>30772</v>
      </c>
      <c r="B727" s="2" t="s">
        <v>152</v>
      </c>
      <c r="C727" s="2" t="s">
        <v>389</v>
      </c>
      <c r="E727" s="18">
        <v>0</v>
      </c>
      <c r="F727" s="18">
        <v>4</v>
      </c>
      <c r="G727" s="18">
        <v>4</v>
      </c>
      <c r="H727" s="18">
        <v>0</v>
      </c>
      <c r="I727" s="18">
        <v>0</v>
      </c>
      <c r="J727" s="18">
        <v>4</v>
      </c>
      <c r="K727" s="18">
        <v>2</v>
      </c>
      <c r="T727" s="3">
        <v>14</v>
      </c>
      <c r="U727" s="3">
        <v>12</v>
      </c>
      <c r="V727" s="3">
        <v>3</v>
      </c>
      <c r="X727" s="2" t="s">
        <v>1450</v>
      </c>
      <c r="Y727" s="18">
        <v>3</v>
      </c>
      <c r="Z727" s="18">
        <v>1</v>
      </c>
      <c r="AA727" s="18">
        <v>0</v>
      </c>
      <c r="AB727" s="18">
        <v>0</v>
      </c>
      <c r="AC727" s="18">
        <v>0</v>
      </c>
      <c r="AD727" s="18">
        <v>1</v>
      </c>
      <c r="AE727" s="18">
        <v>0</v>
      </c>
      <c r="AN727" s="3">
        <v>5</v>
      </c>
      <c r="AO727" s="3">
        <v>4</v>
      </c>
      <c r="AP727" s="3">
        <v>5</v>
      </c>
      <c r="AR727" s="2" t="s">
        <v>316</v>
      </c>
    </row>
    <row r="728" spans="1:44" ht="12.75" customHeight="1">
      <c r="A728" s="4">
        <f>DATE(84,4,3)</f>
        <v>30775</v>
      </c>
      <c r="B728" s="2" t="s">
        <v>152</v>
      </c>
      <c r="C728" s="2" t="s">
        <v>374</v>
      </c>
      <c r="E728" s="18">
        <v>2</v>
      </c>
      <c r="F728" s="18">
        <v>1</v>
      </c>
      <c r="G728" s="18">
        <v>2</v>
      </c>
      <c r="H728" s="18">
        <v>0</v>
      </c>
      <c r="I728" s="18">
        <v>0</v>
      </c>
      <c r="J728" s="18">
        <v>0</v>
      </c>
      <c r="K728" s="18">
        <v>0</v>
      </c>
      <c r="T728" s="3">
        <v>5</v>
      </c>
      <c r="U728" s="3">
        <v>6</v>
      </c>
      <c r="V728" s="3">
        <v>3</v>
      </c>
      <c r="X728" s="2" t="s">
        <v>1399</v>
      </c>
      <c r="Y728" s="18">
        <v>0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N728" s="3">
        <v>0</v>
      </c>
      <c r="AO728" s="3">
        <v>2</v>
      </c>
      <c r="AP728" s="3">
        <v>4</v>
      </c>
      <c r="AR728" s="2" t="s">
        <v>1451</v>
      </c>
    </row>
    <row r="729" spans="1:44" ht="12.75" customHeight="1">
      <c r="A729" s="4">
        <f>DATE(84,4,9)</f>
        <v>30781</v>
      </c>
      <c r="B729" s="2" t="s">
        <v>152</v>
      </c>
      <c r="C729" s="2" t="s">
        <v>236</v>
      </c>
      <c r="E729" s="18">
        <v>0</v>
      </c>
      <c r="F729" s="18">
        <v>1</v>
      </c>
      <c r="G729" s="18">
        <v>2</v>
      </c>
      <c r="H729" s="18">
        <v>1</v>
      </c>
      <c r="I729" s="18">
        <v>6</v>
      </c>
      <c r="T729" s="3">
        <v>10</v>
      </c>
      <c r="U729" s="3">
        <v>12</v>
      </c>
      <c r="V729" s="3">
        <v>0</v>
      </c>
      <c r="X729" s="2" t="s">
        <v>1410</v>
      </c>
      <c r="Y729" s="18">
        <v>0</v>
      </c>
      <c r="Z729" s="18">
        <v>0</v>
      </c>
      <c r="AA729" s="18">
        <v>0</v>
      </c>
      <c r="AB729" s="18">
        <v>0</v>
      </c>
      <c r="AC729" s="18">
        <v>0</v>
      </c>
      <c r="AN729" s="3">
        <v>0</v>
      </c>
      <c r="AO729" s="3">
        <v>4</v>
      </c>
      <c r="AP729" s="3">
        <v>2</v>
      </c>
      <c r="AR729" s="2" t="s">
        <v>1452</v>
      </c>
    </row>
    <row r="730" spans="1:44" ht="12.75" customHeight="1">
      <c r="A730" s="4">
        <f>DATE(84,4,10)</f>
        <v>30782</v>
      </c>
      <c r="C730" s="2" t="s">
        <v>305</v>
      </c>
      <c r="E730" s="18">
        <v>1</v>
      </c>
      <c r="F730" s="18">
        <v>0</v>
      </c>
      <c r="G730" s="18">
        <v>4</v>
      </c>
      <c r="H730" s="18">
        <v>0</v>
      </c>
      <c r="I730" s="18">
        <v>7</v>
      </c>
      <c r="J730" s="18">
        <v>0</v>
      </c>
      <c r="K730" s="18" t="s">
        <v>162</v>
      </c>
      <c r="T730" s="3">
        <v>12</v>
      </c>
      <c r="U730" s="3">
        <v>15</v>
      </c>
      <c r="V730" s="3">
        <v>2</v>
      </c>
      <c r="X730" s="2" t="s">
        <v>1453</v>
      </c>
      <c r="Y730" s="18">
        <v>0</v>
      </c>
      <c r="Z730" s="18">
        <v>1</v>
      </c>
      <c r="AA730" s="18">
        <v>0</v>
      </c>
      <c r="AB730" s="18">
        <v>2</v>
      </c>
      <c r="AC730" s="18">
        <v>1</v>
      </c>
      <c r="AD730" s="18">
        <v>2</v>
      </c>
      <c r="AE730" s="18">
        <v>4</v>
      </c>
      <c r="AN730" s="3">
        <v>10</v>
      </c>
      <c r="AO730" s="3">
        <v>9</v>
      </c>
      <c r="AP730" s="3">
        <v>0</v>
      </c>
      <c r="AR730" s="2" t="s">
        <v>317</v>
      </c>
    </row>
    <row r="731" spans="1:44" ht="12.75" customHeight="1">
      <c r="A731" s="4">
        <f>DATE(84,4,11)</f>
        <v>30783</v>
      </c>
      <c r="C731" s="2" t="s">
        <v>367</v>
      </c>
      <c r="E731" s="18">
        <v>5</v>
      </c>
      <c r="F731" s="18">
        <v>1</v>
      </c>
      <c r="G731" s="18">
        <v>6</v>
      </c>
      <c r="H731" s="18">
        <v>0</v>
      </c>
      <c r="I731" s="18" t="s">
        <v>162</v>
      </c>
      <c r="T731" s="3">
        <v>12</v>
      </c>
      <c r="U731" s="3">
        <v>9</v>
      </c>
      <c r="V731" s="3">
        <v>0</v>
      </c>
      <c r="X731" s="2" t="s">
        <v>1443</v>
      </c>
      <c r="Y731" s="18">
        <v>0</v>
      </c>
      <c r="Z731" s="18">
        <v>0</v>
      </c>
      <c r="AA731" s="18">
        <v>0</v>
      </c>
      <c r="AB731" s="18">
        <v>0</v>
      </c>
      <c r="AC731" s="18">
        <v>0</v>
      </c>
      <c r="AN731" s="3">
        <v>0</v>
      </c>
      <c r="AO731" s="3">
        <v>0</v>
      </c>
      <c r="AP731" s="3">
        <v>4</v>
      </c>
      <c r="AR731" s="2" t="s">
        <v>1454</v>
      </c>
    </row>
    <row r="732" spans="1:44" ht="12.75" customHeight="1">
      <c r="A732" s="4">
        <f>DATE(84,4,12)</f>
        <v>30784</v>
      </c>
      <c r="B732" s="2" t="s">
        <v>152</v>
      </c>
      <c r="C732" s="2" t="s">
        <v>175</v>
      </c>
      <c r="E732" s="18">
        <v>1</v>
      </c>
      <c r="F732" s="18">
        <v>0</v>
      </c>
      <c r="G732" s="18">
        <v>8</v>
      </c>
      <c r="H732" s="18">
        <v>1</v>
      </c>
      <c r="I732" s="18">
        <v>0</v>
      </c>
      <c r="J732" s="18">
        <v>3</v>
      </c>
      <c r="T732" s="3">
        <v>13</v>
      </c>
      <c r="U732" s="3">
        <v>10</v>
      </c>
      <c r="V732" s="3">
        <v>2</v>
      </c>
      <c r="X732" s="2" t="s">
        <v>1455</v>
      </c>
      <c r="Y732" s="18">
        <v>0</v>
      </c>
      <c r="Z732" s="18">
        <v>1</v>
      </c>
      <c r="AA732" s="18">
        <v>0</v>
      </c>
      <c r="AB732" s="18">
        <v>1</v>
      </c>
      <c r="AC732" s="18">
        <v>0</v>
      </c>
      <c r="AD732" s="18">
        <v>0</v>
      </c>
      <c r="AN732" s="3">
        <v>2</v>
      </c>
      <c r="AO732" s="3">
        <v>5</v>
      </c>
      <c r="AP732" s="3">
        <v>3</v>
      </c>
      <c r="AR732" s="2" t="s">
        <v>1456</v>
      </c>
    </row>
    <row r="733" spans="1:44" ht="12.75" customHeight="1">
      <c r="A733" s="4">
        <f>DATE(84,4,14)</f>
        <v>30786</v>
      </c>
      <c r="C733" s="2" t="s">
        <v>297</v>
      </c>
      <c r="E733" s="18">
        <v>0</v>
      </c>
      <c r="F733" s="18">
        <v>1</v>
      </c>
      <c r="G733" s="18">
        <v>7</v>
      </c>
      <c r="H733" s="18">
        <v>6</v>
      </c>
      <c r="I733" s="18">
        <v>0</v>
      </c>
      <c r="J733" s="18">
        <v>2</v>
      </c>
      <c r="K733" s="18" t="s">
        <v>162</v>
      </c>
      <c r="T733" s="3">
        <v>16</v>
      </c>
      <c r="U733" s="3">
        <v>21</v>
      </c>
      <c r="V733" s="3">
        <v>2</v>
      </c>
      <c r="X733" s="2" t="s">
        <v>1457</v>
      </c>
      <c r="Y733" s="18">
        <v>0</v>
      </c>
      <c r="Z733" s="18">
        <v>2</v>
      </c>
      <c r="AA733" s="18">
        <v>5</v>
      </c>
      <c r="AB733" s="18">
        <v>0</v>
      </c>
      <c r="AC733" s="18">
        <v>0</v>
      </c>
      <c r="AD733" s="18">
        <v>0</v>
      </c>
      <c r="AE733" s="18">
        <v>0</v>
      </c>
      <c r="AN733" s="3">
        <v>7</v>
      </c>
      <c r="AO733" s="3">
        <v>3</v>
      </c>
      <c r="AP733" s="3">
        <v>1</v>
      </c>
      <c r="AR733" s="2" t="s">
        <v>1458</v>
      </c>
    </row>
    <row r="734" spans="1:44" ht="12.75" customHeight="1">
      <c r="A734" s="4">
        <f>DATE(84,4,19)</f>
        <v>30791</v>
      </c>
      <c r="C734" s="2" t="s">
        <v>388</v>
      </c>
      <c r="E734" s="18">
        <v>10</v>
      </c>
      <c r="F734" s="18">
        <v>4</v>
      </c>
      <c r="G734" s="18">
        <v>0</v>
      </c>
      <c r="H734" s="18">
        <v>0</v>
      </c>
      <c r="I734" s="18" t="s">
        <v>162</v>
      </c>
      <c r="T734" s="3">
        <v>14</v>
      </c>
      <c r="U734" s="3">
        <v>8</v>
      </c>
      <c r="V734" s="3">
        <v>2</v>
      </c>
      <c r="X734" s="2" t="s">
        <v>1410</v>
      </c>
      <c r="Y734" s="18">
        <v>1</v>
      </c>
      <c r="Z734" s="18">
        <v>0</v>
      </c>
      <c r="AA734" s="18">
        <v>2</v>
      </c>
      <c r="AB734" s="18">
        <v>0</v>
      </c>
      <c r="AC734" s="18">
        <v>0</v>
      </c>
      <c r="AN734" s="3">
        <v>3</v>
      </c>
      <c r="AO734" s="3">
        <v>2</v>
      </c>
      <c r="AP734" s="3">
        <v>2</v>
      </c>
      <c r="AR734" s="2" t="s">
        <v>1459</v>
      </c>
    </row>
    <row r="735" spans="1:44" ht="12.75" customHeight="1">
      <c r="A735" s="4">
        <f>DATE(84,4,21)</f>
        <v>30793</v>
      </c>
      <c r="B735" s="2" t="s">
        <v>152</v>
      </c>
      <c r="C735" s="2" t="s">
        <v>191</v>
      </c>
      <c r="E735" s="18">
        <v>0</v>
      </c>
      <c r="F735" s="18">
        <v>1</v>
      </c>
      <c r="G735" s="18">
        <v>1</v>
      </c>
      <c r="H735" s="18">
        <v>0</v>
      </c>
      <c r="I735" s="18">
        <v>6</v>
      </c>
      <c r="J735" s="18">
        <v>0</v>
      </c>
      <c r="K735" s="18">
        <v>2</v>
      </c>
      <c r="T735" s="3">
        <v>10</v>
      </c>
      <c r="U735" s="3">
        <v>9</v>
      </c>
      <c r="V735" s="3">
        <v>3</v>
      </c>
      <c r="X735" s="2" t="s">
        <v>1443</v>
      </c>
      <c r="Y735" s="18">
        <v>0</v>
      </c>
      <c r="Z735" s="18">
        <v>2</v>
      </c>
      <c r="AA735" s="18">
        <v>0</v>
      </c>
      <c r="AB735" s="18">
        <v>0</v>
      </c>
      <c r="AC735" s="18">
        <v>0</v>
      </c>
      <c r="AD735" s="18">
        <v>0</v>
      </c>
      <c r="AE735" s="18">
        <v>0</v>
      </c>
      <c r="AN735" s="3">
        <v>2</v>
      </c>
      <c r="AO735" s="3">
        <v>4</v>
      </c>
      <c r="AP735" s="3">
        <v>6</v>
      </c>
      <c r="AR735" s="2" t="s">
        <v>1460</v>
      </c>
    </row>
    <row r="736" spans="1:44" ht="12.75" customHeight="1">
      <c r="A736" s="4">
        <f>DATE(84,4,21)</f>
        <v>30793</v>
      </c>
      <c r="B736" s="2" t="s">
        <v>152</v>
      </c>
      <c r="C736" s="2" t="s">
        <v>191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3</v>
      </c>
      <c r="K736" s="18">
        <v>1</v>
      </c>
      <c r="T736" s="3">
        <v>4</v>
      </c>
      <c r="U736" s="3">
        <v>7</v>
      </c>
      <c r="V736" s="3">
        <v>0</v>
      </c>
      <c r="X736" s="2" t="s">
        <v>1378</v>
      </c>
      <c r="Y736" s="18">
        <v>0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N736" s="3">
        <v>0</v>
      </c>
      <c r="AO736" s="3">
        <v>0</v>
      </c>
      <c r="AP736" s="3">
        <v>3</v>
      </c>
      <c r="AR736" s="2" t="s">
        <v>1461</v>
      </c>
    </row>
    <row r="737" spans="1:44" ht="12.75" customHeight="1">
      <c r="A737" s="4">
        <f>DATE(84,4,26)</f>
        <v>30798</v>
      </c>
      <c r="C737" s="2" t="s">
        <v>374</v>
      </c>
      <c r="E737" s="18">
        <v>4</v>
      </c>
      <c r="F737" s="18">
        <v>0</v>
      </c>
      <c r="G737" s="18">
        <v>1</v>
      </c>
      <c r="H737" s="18">
        <v>2</v>
      </c>
      <c r="I737" s="18">
        <v>1</v>
      </c>
      <c r="J737" s="18">
        <v>1</v>
      </c>
      <c r="K737" s="18" t="s">
        <v>162</v>
      </c>
      <c r="T737" s="3">
        <v>9</v>
      </c>
      <c r="U737" s="3">
        <v>13</v>
      </c>
      <c r="V737" s="3">
        <v>4</v>
      </c>
      <c r="X737" s="2" t="s">
        <v>1399</v>
      </c>
      <c r="Y737" s="18">
        <v>0</v>
      </c>
      <c r="Z737" s="18">
        <v>0</v>
      </c>
      <c r="AA737" s="18">
        <v>0</v>
      </c>
      <c r="AB737" s="18">
        <v>1</v>
      </c>
      <c r="AC737" s="18">
        <v>0</v>
      </c>
      <c r="AD737" s="18">
        <v>0</v>
      </c>
      <c r="AE737" s="18">
        <v>0</v>
      </c>
      <c r="AN737" s="3">
        <v>1</v>
      </c>
      <c r="AO737" s="3">
        <v>5</v>
      </c>
      <c r="AP737" s="3">
        <v>2</v>
      </c>
      <c r="AR737" s="2" t="s">
        <v>1462</v>
      </c>
    </row>
    <row r="738" spans="1:44" ht="12.75" customHeight="1">
      <c r="A738" s="4">
        <f>DATE(84,4,27)</f>
        <v>30799</v>
      </c>
      <c r="B738" s="2" t="s">
        <v>152</v>
      </c>
      <c r="C738" s="2" t="s">
        <v>174</v>
      </c>
      <c r="E738" s="18">
        <v>2</v>
      </c>
      <c r="F738" s="18">
        <v>3</v>
      </c>
      <c r="G738" s="18">
        <v>1</v>
      </c>
      <c r="H738" s="18">
        <v>0</v>
      </c>
      <c r="I738" s="18">
        <v>1</v>
      </c>
      <c r="J738" s="18">
        <v>5</v>
      </c>
      <c r="K738" s="18">
        <v>0</v>
      </c>
      <c r="T738" s="3">
        <v>12</v>
      </c>
      <c r="U738" s="3">
        <v>14</v>
      </c>
      <c r="V738" s="3">
        <v>3</v>
      </c>
      <c r="X738" s="2" t="s">
        <v>1378</v>
      </c>
      <c r="Y738" s="18">
        <v>1</v>
      </c>
      <c r="Z738" s="18">
        <v>1</v>
      </c>
      <c r="AA738" s="18">
        <v>0</v>
      </c>
      <c r="AB738" s="18">
        <v>0</v>
      </c>
      <c r="AC738" s="18">
        <v>2</v>
      </c>
      <c r="AD738" s="18">
        <v>0</v>
      </c>
      <c r="AE738" s="18">
        <v>3</v>
      </c>
      <c r="AN738" s="3">
        <v>7</v>
      </c>
      <c r="AO738" s="3">
        <v>7</v>
      </c>
      <c r="AP738" s="3">
        <v>5</v>
      </c>
      <c r="AR738" s="2" t="s">
        <v>318</v>
      </c>
    </row>
    <row r="739" spans="1:44" ht="12.75" customHeight="1">
      <c r="A739" s="4">
        <f>DATE(84,4,28)</f>
        <v>30800</v>
      </c>
      <c r="C739" s="2" t="s">
        <v>1463</v>
      </c>
      <c r="E739" s="18">
        <v>6</v>
      </c>
      <c r="F739" s="18">
        <v>3</v>
      </c>
      <c r="G739" s="18">
        <v>3</v>
      </c>
      <c r="H739" s="18">
        <v>2</v>
      </c>
      <c r="I739" s="18">
        <v>0</v>
      </c>
      <c r="T739" s="3">
        <v>14</v>
      </c>
      <c r="U739" s="3">
        <v>10</v>
      </c>
      <c r="V739" s="3">
        <v>2</v>
      </c>
      <c r="X739" s="2" t="s">
        <v>1464</v>
      </c>
      <c r="Y739" s="18">
        <v>1</v>
      </c>
      <c r="Z739" s="18">
        <v>0</v>
      </c>
      <c r="AA739" s="18">
        <v>0</v>
      </c>
      <c r="AB739" s="18">
        <v>1</v>
      </c>
      <c r="AC739" s="18">
        <v>1</v>
      </c>
      <c r="AN739" s="3">
        <v>3</v>
      </c>
      <c r="AO739" s="3">
        <v>3</v>
      </c>
      <c r="AP739" s="3">
        <v>3</v>
      </c>
      <c r="AR739" s="2" t="s">
        <v>319</v>
      </c>
    </row>
    <row r="740" spans="1:44" ht="12.75" customHeight="1">
      <c r="A740" s="4">
        <f>DATE(84,4,30)</f>
        <v>30802</v>
      </c>
      <c r="C740" s="2" t="s">
        <v>379</v>
      </c>
      <c r="E740" s="18">
        <v>5</v>
      </c>
      <c r="F740" s="18">
        <v>1</v>
      </c>
      <c r="G740" s="18">
        <v>5</v>
      </c>
      <c r="H740" s="18">
        <v>2</v>
      </c>
      <c r="I740" s="18">
        <v>0</v>
      </c>
      <c r="T740" s="3">
        <v>13</v>
      </c>
      <c r="U740" s="3">
        <v>9</v>
      </c>
      <c r="V740" s="3">
        <v>3</v>
      </c>
      <c r="X740" s="2" t="s">
        <v>1465</v>
      </c>
      <c r="Y740" s="18">
        <v>2</v>
      </c>
      <c r="Z740" s="18">
        <v>0</v>
      </c>
      <c r="AA740" s="18">
        <v>0</v>
      </c>
      <c r="AB740" s="18">
        <v>0</v>
      </c>
      <c r="AC740" s="18">
        <v>1</v>
      </c>
      <c r="AN740" s="3">
        <v>3</v>
      </c>
      <c r="AO740" s="3">
        <v>4</v>
      </c>
      <c r="AP740" s="3">
        <v>5</v>
      </c>
      <c r="AR740" s="2" t="s">
        <v>1466</v>
      </c>
    </row>
    <row r="741" spans="1:44" ht="12.75" customHeight="1">
      <c r="A741" s="4">
        <f>DATE(84,5,1)</f>
        <v>30803</v>
      </c>
      <c r="C741" s="2" t="s">
        <v>236</v>
      </c>
      <c r="E741" s="18">
        <v>9</v>
      </c>
      <c r="F741" s="18">
        <v>2</v>
      </c>
      <c r="G741" s="18">
        <v>0</v>
      </c>
      <c r="H741" s="18">
        <v>0</v>
      </c>
      <c r="I741" s="18">
        <v>0</v>
      </c>
      <c r="J741" s="18">
        <v>1</v>
      </c>
      <c r="K741" s="18">
        <v>2</v>
      </c>
      <c r="T741" s="3">
        <v>14</v>
      </c>
      <c r="U741" s="3">
        <v>13</v>
      </c>
      <c r="V741" s="3">
        <v>2</v>
      </c>
      <c r="X741" s="2" t="s">
        <v>1467</v>
      </c>
      <c r="Y741" s="18">
        <v>0</v>
      </c>
      <c r="Z741" s="18">
        <v>0</v>
      </c>
      <c r="AA741" s="18">
        <v>0</v>
      </c>
      <c r="AB741" s="18">
        <v>5</v>
      </c>
      <c r="AC741" s="18">
        <v>8</v>
      </c>
      <c r="AD741" s="18">
        <v>0</v>
      </c>
      <c r="AE741" s="18">
        <v>0</v>
      </c>
      <c r="AN741" s="3">
        <v>13</v>
      </c>
      <c r="AO741" s="3">
        <v>13</v>
      </c>
      <c r="AP741" s="3">
        <v>5</v>
      </c>
      <c r="AR741" s="2" t="s">
        <v>1468</v>
      </c>
    </row>
    <row r="742" spans="1:44" ht="12.75" customHeight="1">
      <c r="A742" s="4">
        <f>DATE(84,5,5)</f>
        <v>30807</v>
      </c>
      <c r="B742" s="2" t="s">
        <v>152</v>
      </c>
      <c r="C742" s="2" t="s">
        <v>367</v>
      </c>
      <c r="E742" s="18">
        <v>4</v>
      </c>
      <c r="F742" s="18">
        <v>0</v>
      </c>
      <c r="G742" s="18">
        <v>2</v>
      </c>
      <c r="H742" s="18">
        <v>1</v>
      </c>
      <c r="I742" s="18">
        <v>0</v>
      </c>
      <c r="J742" s="18">
        <v>1</v>
      </c>
      <c r="K742" s="18">
        <v>0</v>
      </c>
      <c r="T742" s="3">
        <v>8</v>
      </c>
      <c r="U742" s="3">
        <v>13</v>
      </c>
      <c r="V742" s="3">
        <v>4</v>
      </c>
      <c r="X742" s="2" t="s">
        <v>1469</v>
      </c>
      <c r="Y742" s="18">
        <v>0</v>
      </c>
      <c r="Z742" s="18">
        <v>0</v>
      </c>
      <c r="AA742" s="18">
        <v>1</v>
      </c>
      <c r="AB742" s="18">
        <v>0</v>
      </c>
      <c r="AC742" s="18">
        <v>1</v>
      </c>
      <c r="AD742" s="18">
        <v>2</v>
      </c>
      <c r="AE742" s="18">
        <v>0</v>
      </c>
      <c r="AN742" s="3">
        <v>4</v>
      </c>
      <c r="AO742" s="3">
        <v>2</v>
      </c>
      <c r="AP742" s="3">
        <v>1</v>
      </c>
      <c r="AR742" s="2" t="s">
        <v>1379</v>
      </c>
    </row>
    <row r="743" spans="1:44" ht="12.75" customHeight="1">
      <c r="A743" s="4">
        <f>DATE(84,5,5)</f>
        <v>30807</v>
      </c>
      <c r="B743" s="2" t="s">
        <v>152</v>
      </c>
      <c r="C743" s="2" t="s">
        <v>367</v>
      </c>
      <c r="E743" s="18">
        <v>1</v>
      </c>
      <c r="F743" s="18">
        <v>0</v>
      </c>
      <c r="G743" s="18">
        <v>0</v>
      </c>
      <c r="H743" s="18">
        <v>2</v>
      </c>
      <c r="I743" s="18">
        <v>0</v>
      </c>
      <c r="J743" s="18">
        <v>1</v>
      </c>
      <c r="K743" s="18">
        <v>0</v>
      </c>
      <c r="T743" s="3">
        <v>4</v>
      </c>
      <c r="U743" s="3">
        <v>8</v>
      </c>
      <c r="V743" s="3">
        <v>2</v>
      </c>
      <c r="X743" s="2" t="s">
        <v>1450</v>
      </c>
      <c r="Y743" s="18">
        <v>0</v>
      </c>
      <c r="Z743" s="18">
        <v>0</v>
      </c>
      <c r="AA743" s="18">
        <v>0</v>
      </c>
      <c r="AB743" s="18">
        <v>0</v>
      </c>
      <c r="AC743" s="18">
        <v>1</v>
      </c>
      <c r="AD743" s="18">
        <v>0</v>
      </c>
      <c r="AE743" s="18">
        <v>0</v>
      </c>
      <c r="AN743" s="3">
        <v>1</v>
      </c>
      <c r="AO743" s="3">
        <v>3</v>
      </c>
      <c r="AP743" s="3">
        <v>3</v>
      </c>
      <c r="AR743" s="2" t="s">
        <v>320</v>
      </c>
    </row>
    <row r="744" spans="1:44" ht="12.75" customHeight="1">
      <c r="A744" s="4">
        <f>DATE(84,5,9)</f>
        <v>30811</v>
      </c>
      <c r="B744" s="2" t="s">
        <v>152</v>
      </c>
      <c r="C744" s="2" t="s">
        <v>305</v>
      </c>
      <c r="E744" s="18">
        <v>0</v>
      </c>
      <c r="F744" s="18">
        <v>0</v>
      </c>
      <c r="G744" s="18">
        <v>0</v>
      </c>
      <c r="H744" s="18">
        <v>2</v>
      </c>
      <c r="I744" s="18">
        <v>1</v>
      </c>
      <c r="J744" s="18">
        <v>1</v>
      </c>
      <c r="K744" s="18">
        <v>2</v>
      </c>
      <c r="T744" s="3">
        <v>6</v>
      </c>
      <c r="U744" s="3">
        <v>7</v>
      </c>
      <c r="V744" s="3">
        <v>2</v>
      </c>
      <c r="X744" s="2" t="s">
        <v>1399</v>
      </c>
      <c r="Y744" s="18">
        <v>0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  <c r="AE744" s="18">
        <v>0</v>
      </c>
      <c r="AN744" s="3">
        <v>0</v>
      </c>
      <c r="AO744" s="3">
        <v>2</v>
      </c>
      <c r="AP744" s="3">
        <v>4</v>
      </c>
      <c r="AR744" s="2" t="s">
        <v>1430</v>
      </c>
    </row>
    <row r="745" spans="1:44" ht="12.75" customHeight="1">
      <c r="A745" s="4">
        <f>DATE(84,5,10)</f>
        <v>30812</v>
      </c>
      <c r="B745" s="2" t="s">
        <v>152</v>
      </c>
      <c r="C745" s="2" t="s">
        <v>379</v>
      </c>
      <c r="E745" s="18">
        <v>4</v>
      </c>
      <c r="F745" s="18">
        <v>0</v>
      </c>
      <c r="G745" s="18">
        <v>3</v>
      </c>
      <c r="H745" s="18">
        <v>1</v>
      </c>
      <c r="I745" s="18">
        <v>1</v>
      </c>
      <c r="J745" s="18">
        <v>2</v>
      </c>
      <c r="K745" s="18">
        <v>0</v>
      </c>
      <c r="T745" s="3">
        <v>11</v>
      </c>
      <c r="U745" s="3">
        <v>15</v>
      </c>
      <c r="V745" s="3">
        <v>3</v>
      </c>
      <c r="X745" s="2" t="s">
        <v>1457</v>
      </c>
      <c r="Y745" s="18">
        <v>0</v>
      </c>
      <c r="Z745" s="18">
        <v>0</v>
      </c>
      <c r="AA745" s="18">
        <v>0</v>
      </c>
      <c r="AB745" s="18">
        <v>0</v>
      </c>
      <c r="AC745" s="18">
        <v>2</v>
      </c>
      <c r="AD745" s="18">
        <v>0</v>
      </c>
      <c r="AE745" s="18">
        <v>0</v>
      </c>
      <c r="AN745" s="3">
        <v>2</v>
      </c>
      <c r="AO745" s="3">
        <v>5</v>
      </c>
      <c r="AP745" s="3">
        <v>2</v>
      </c>
      <c r="AR745" s="2" t="s">
        <v>321</v>
      </c>
    </row>
    <row r="746" spans="1:44" ht="12.75" customHeight="1">
      <c r="A746" s="4">
        <f>DATE(84,5,14)</f>
        <v>30816</v>
      </c>
      <c r="C746" s="2" t="s">
        <v>175</v>
      </c>
      <c r="E746" s="18">
        <v>3</v>
      </c>
      <c r="F746" s="18">
        <v>0</v>
      </c>
      <c r="G746" s="18">
        <v>0</v>
      </c>
      <c r="H746" s="18">
        <v>3</v>
      </c>
      <c r="I746" s="18">
        <v>1</v>
      </c>
      <c r="J746" s="18">
        <v>1</v>
      </c>
      <c r="K746" s="18" t="s">
        <v>162</v>
      </c>
      <c r="T746" s="3">
        <v>8</v>
      </c>
      <c r="U746" s="3">
        <v>10</v>
      </c>
      <c r="V746" s="3">
        <v>1</v>
      </c>
      <c r="X746" s="2" t="s">
        <v>1399</v>
      </c>
      <c r="Y746" s="18">
        <v>1</v>
      </c>
      <c r="Z746" s="18">
        <v>0</v>
      </c>
      <c r="AA746" s="18">
        <v>2</v>
      </c>
      <c r="AB746" s="18">
        <v>0</v>
      </c>
      <c r="AC746" s="18">
        <v>0</v>
      </c>
      <c r="AD746" s="18">
        <v>0</v>
      </c>
      <c r="AE746" s="18">
        <v>0</v>
      </c>
      <c r="AN746" s="3">
        <v>3</v>
      </c>
      <c r="AO746" s="3">
        <v>5</v>
      </c>
      <c r="AP746" s="3">
        <v>7</v>
      </c>
      <c r="AR746" s="2" t="s">
        <v>1470</v>
      </c>
    </row>
    <row r="747" spans="1:44" ht="12.75" customHeight="1">
      <c r="A747" s="4">
        <f>DATE(84,5,15)</f>
        <v>30817</v>
      </c>
      <c r="B747" s="2" t="s">
        <v>152</v>
      </c>
      <c r="C747" s="2" t="s">
        <v>388</v>
      </c>
      <c r="E747" s="18">
        <v>2</v>
      </c>
      <c r="F747" s="18">
        <v>7</v>
      </c>
      <c r="G747" s="18">
        <v>3</v>
      </c>
      <c r="H747" s="18">
        <v>0</v>
      </c>
      <c r="I747" s="18">
        <v>0</v>
      </c>
      <c r="J747" s="18">
        <v>0</v>
      </c>
      <c r="K747" s="18">
        <v>1</v>
      </c>
      <c r="T747" s="3">
        <v>13</v>
      </c>
      <c r="U747" s="3">
        <v>15</v>
      </c>
      <c r="V747" s="3">
        <v>4</v>
      </c>
      <c r="X747" s="2" t="s">
        <v>1378</v>
      </c>
      <c r="Y747" s="18">
        <v>0</v>
      </c>
      <c r="Z747" s="18">
        <v>0</v>
      </c>
      <c r="AA747" s="18">
        <v>1</v>
      </c>
      <c r="AB747" s="18">
        <v>1</v>
      </c>
      <c r="AC747" s="18">
        <v>3</v>
      </c>
      <c r="AD747" s="18">
        <v>0</v>
      </c>
      <c r="AE747" s="18">
        <v>0</v>
      </c>
      <c r="AN747" s="3">
        <v>5</v>
      </c>
      <c r="AO747" s="3">
        <v>4</v>
      </c>
      <c r="AP747" s="3">
        <v>2</v>
      </c>
      <c r="AR747" s="2" t="s">
        <v>322</v>
      </c>
    </row>
    <row r="748" spans="1:44" ht="12.75" customHeight="1">
      <c r="A748" s="4">
        <f>DATE(84,5,18)</f>
        <v>30820</v>
      </c>
      <c r="C748" s="2" t="s">
        <v>174</v>
      </c>
      <c r="E748" s="18">
        <v>5</v>
      </c>
      <c r="F748" s="18">
        <v>5</v>
      </c>
      <c r="G748" s="18">
        <v>2</v>
      </c>
      <c r="H748" s="18">
        <v>0</v>
      </c>
      <c r="I748" s="18" t="s">
        <v>162</v>
      </c>
      <c r="T748" s="3">
        <v>12</v>
      </c>
      <c r="U748" s="3">
        <v>9</v>
      </c>
      <c r="V748" s="3">
        <v>0</v>
      </c>
      <c r="X748" s="2" t="s">
        <v>1410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  <c r="AN748" s="3">
        <v>0</v>
      </c>
      <c r="AO748" s="3">
        <v>5</v>
      </c>
      <c r="AP748" s="3">
        <v>3</v>
      </c>
      <c r="AR748" s="2" t="s">
        <v>1471</v>
      </c>
    </row>
    <row r="749" spans="1:44" ht="12.75" customHeight="1">
      <c r="A749" s="4">
        <f>DATE(84,5,24)</f>
        <v>30826</v>
      </c>
      <c r="B749" s="2" t="s">
        <v>239</v>
      </c>
      <c r="C749" s="2" t="s">
        <v>367</v>
      </c>
      <c r="D749" s="2" t="s">
        <v>258</v>
      </c>
      <c r="E749" s="18">
        <v>2</v>
      </c>
      <c r="F749" s="18">
        <v>3</v>
      </c>
      <c r="G749" s="18">
        <v>1</v>
      </c>
      <c r="H749" s="18">
        <v>5</v>
      </c>
      <c r="I749" s="18" t="s">
        <v>162</v>
      </c>
      <c r="T749" s="3">
        <v>11</v>
      </c>
      <c r="U749" s="3">
        <v>8</v>
      </c>
      <c r="V749" s="3">
        <v>0</v>
      </c>
      <c r="X749" s="2" t="s">
        <v>1366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N749" s="3">
        <v>0</v>
      </c>
      <c r="AO749" s="3">
        <v>0</v>
      </c>
      <c r="AP749" s="3">
        <v>4</v>
      </c>
      <c r="AR749" s="2" t="s">
        <v>1475</v>
      </c>
    </row>
    <row r="750" spans="1:44" ht="12.75" customHeight="1">
      <c r="A750" s="4">
        <f>DATE(84,5,31)</f>
        <v>30833</v>
      </c>
      <c r="B750" s="2" t="s">
        <v>239</v>
      </c>
      <c r="C750" s="2" t="s">
        <v>183</v>
      </c>
      <c r="D750" s="2" t="s">
        <v>258</v>
      </c>
      <c r="E750" s="18">
        <v>0</v>
      </c>
      <c r="F750" s="18">
        <v>0</v>
      </c>
      <c r="G750" s="18">
        <v>0</v>
      </c>
      <c r="H750" s="18">
        <v>0</v>
      </c>
      <c r="I750" s="18">
        <v>2</v>
      </c>
      <c r="J750" s="18">
        <v>0</v>
      </c>
      <c r="K750" s="18">
        <v>4</v>
      </c>
      <c r="T750" s="3">
        <v>6</v>
      </c>
      <c r="U750" s="3">
        <v>9</v>
      </c>
      <c r="V750" s="3">
        <v>5</v>
      </c>
      <c r="X750" s="2" t="s">
        <v>1476</v>
      </c>
      <c r="Y750" s="18">
        <v>0</v>
      </c>
      <c r="Z750" s="18">
        <v>0</v>
      </c>
      <c r="AA750" s="18">
        <v>3</v>
      </c>
      <c r="AB750" s="18">
        <v>0</v>
      </c>
      <c r="AC750" s="18">
        <v>0</v>
      </c>
      <c r="AD750" s="18">
        <v>4</v>
      </c>
      <c r="AE750" s="18">
        <v>0</v>
      </c>
      <c r="AN750" s="3">
        <v>7</v>
      </c>
      <c r="AO750" s="3">
        <v>3</v>
      </c>
      <c r="AP750" s="3">
        <v>2</v>
      </c>
      <c r="AR750" s="2" t="s">
        <v>1477</v>
      </c>
    </row>
    <row r="751" ht="12.75" customHeight="1">
      <c r="A751" s="4"/>
    </row>
    <row r="752" spans="1:45" ht="12.75" customHeight="1">
      <c r="A752" s="4">
        <f>DATE(85,4,10)</f>
        <v>31147</v>
      </c>
      <c r="C752" s="2" t="s">
        <v>174</v>
      </c>
      <c r="E752" s="18">
        <v>4</v>
      </c>
      <c r="F752" s="18">
        <v>0</v>
      </c>
      <c r="G752" s="18">
        <v>0</v>
      </c>
      <c r="H752" s="18">
        <v>2</v>
      </c>
      <c r="I752" s="18">
        <v>0</v>
      </c>
      <c r="J752" s="18">
        <v>0</v>
      </c>
      <c r="T752" s="3">
        <v>6</v>
      </c>
      <c r="U752" s="3">
        <v>5</v>
      </c>
      <c r="V752" s="3">
        <v>3</v>
      </c>
      <c r="X752" s="2" t="s">
        <v>1478</v>
      </c>
      <c r="Y752" s="18">
        <v>1</v>
      </c>
      <c r="Z752" s="18">
        <v>0</v>
      </c>
      <c r="AA752" s="18">
        <v>0</v>
      </c>
      <c r="AB752" s="18">
        <v>6</v>
      </c>
      <c r="AC752" s="18">
        <v>2</v>
      </c>
      <c r="AD752" s="18">
        <v>0</v>
      </c>
      <c r="AN752" s="3">
        <v>9</v>
      </c>
      <c r="AO752" s="3">
        <v>11</v>
      </c>
      <c r="AP752" s="3">
        <v>0</v>
      </c>
      <c r="AR752" s="2" t="s">
        <v>1479</v>
      </c>
      <c r="AS752" s="2" t="s">
        <v>1040</v>
      </c>
    </row>
    <row r="753" spans="1:46" ht="12.75" customHeight="1">
      <c r="A753" s="4">
        <f>DATE(85,4,12)</f>
        <v>31149</v>
      </c>
      <c r="B753" s="2" t="s">
        <v>152</v>
      </c>
      <c r="C753" s="2" t="s">
        <v>374</v>
      </c>
      <c r="E753" s="18">
        <v>1</v>
      </c>
      <c r="F753" s="18">
        <v>3</v>
      </c>
      <c r="G753" s="18">
        <v>0</v>
      </c>
      <c r="H753" s="18">
        <v>1</v>
      </c>
      <c r="I753" s="18">
        <v>0</v>
      </c>
      <c r="J753" s="18">
        <v>0</v>
      </c>
      <c r="K753" s="18">
        <v>1</v>
      </c>
      <c r="T753" s="3">
        <v>6</v>
      </c>
      <c r="U753" s="3">
        <v>6</v>
      </c>
      <c r="V753" s="3">
        <v>8</v>
      </c>
      <c r="X753" s="2" t="s">
        <v>1480</v>
      </c>
      <c r="Y753" s="18">
        <v>3</v>
      </c>
      <c r="Z753" s="18">
        <v>0</v>
      </c>
      <c r="AA753" s="18">
        <v>5</v>
      </c>
      <c r="AB753" s="18">
        <v>0</v>
      </c>
      <c r="AC753" s="18">
        <v>6</v>
      </c>
      <c r="AD753" s="18">
        <v>0</v>
      </c>
      <c r="AE753" s="18" t="s">
        <v>162</v>
      </c>
      <c r="AN753" s="3">
        <v>14</v>
      </c>
      <c r="AO753" s="3">
        <v>14</v>
      </c>
      <c r="AP753" s="3">
        <v>1</v>
      </c>
      <c r="AR753" s="2" t="s">
        <v>1481</v>
      </c>
      <c r="AS753" s="2" t="s">
        <v>250</v>
      </c>
      <c r="AT753" s="2" t="s">
        <v>323</v>
      </c>
    </row>
    <row r="754" spans="1:44" ht="12.75" customHeight="1">
      <c r="A754" s="4">
        <f>DATE(85,4,14)</f>
        <v>31151</v>
      </c>
      <c r="C754" s="2" t="s">
        <v>169</v>
      </c>
      <c r="E754" s="18">
        <v>0</v>
      </c>
      <c r="F754" s="18">
        <v>2</v>
      </c>
      <c r="G754" s="18">
        <v>10</v>
      </c>
      <c r="H754" s="18">
        <v>0</v>
      </c>
      <c r="I754" s="18" t="s">
        <v>162</v>
      </c>
      <c r="T754" s="3">
        <v>12</v>
      </c>
      <c r="U754" s="3">
        <v>8</v>
      </c>
      <c r="V754" s="3">
        <v>1</v>
      </c>
      <c r="X754" s="2" t="s">
        <v>1482</v>
      </c>
      <c r="Y754" s="18">
        <v>0</v>
      </c>
      <c r="Z754" s="18">
        <v>0</v>
      </c>
      <c r="AA754" s="18">
        <v>0</v>
      </c>
      <c r="AB754" s="18">
        <v>1</v>
      </c>
      <c r="AC754" s="18">
        <v>1</v>
      </c>
      <c r="AN754" s="3">
        <v>2</v>
      </c>
      <c r="AO754" s="3">
        <v>2</v>
      </c>
      <c r="AP754" s="3">
        <v>4</v>
      </c>
      <c r="AR754" s="2" t="s">
        <v>1483</v>
      </c>
    </row>
    <row r="755" spans="1:44" ht="12.75" customHeight="1">
      <c r="A755" s="4">
        <f>DATE(85,4,16)</f>
        <v>31153</v>
      </c>
      <c r="C755" s="2" t="s">
        <v>305</v>
      </c>
      <c r="E755" s="18">
        <v>6</v>
      </c>
      <c r="F755" s="18">
        <v>4</v>
      </c>
      <c r="G755" s="18">
        <v>3</v>
      </c>
      <c r="H755" s="18">
        <v>3</v>
      </c>
      <c r="I755" s="18" t="s">
        <v>162</v>
      </c>
      <c r="T755" s="3">
        <v>16</v>
      </c>
      <c r="U755" s="3">
        <v>13</v>
      </c>
      <c r="V755" s="3">
        <v>0</v>
      </c>
      <c r="X755" s="2" t="s">
        <v>1484</v>
      </c>
      <c r="Y755" s="18">
        <v>0</v>
      </c>
      <c r="Z755" s="18">
        <v>0</v>
      </c>
      <c r="AA755" s="18">
        <v>1</v>
      </c>
      <c r="AB755" s="18">
        <v>2</v>
      </c>
      <c r="AC755" s="18">
        <v>0</v>
      </c>
      <c r="AN755" s="3">
        <v>3</v>
      </c>
      <c r="AO755" s="3">
        <v>3</v>
      </c>
      <c r="AP755" s="3">
        <v>3</v>
      </c>
      <c r="AR755" s="2" t="s">
        <v>1485</v>
      </c>
    </row>
    <row r="756" spans="1:44" ht="12.75" customHeight="1">
      <c r="A756" s="4">
        <f>DATE(85,4,17)</f>
        <v>31154</v>
      </c>
      <c r="B756" s="2" t="s">
        <v>152</v>
      </c>
      <c r="C756" s="2" t="s">
        <v>236</v>
      </c>
      <c r="E756" s="18">
        <v>0</v>
      </c>
      <c r="F756" s="18">
        <v>0</v>
      </c>
      <c r="G756" s="18">
        <v>1</v>
      </c>
      <c r="H756" s="18">
        <v>0</v>
      </c>
      <c r="I756" s="18">
        <v>2</v>
      </c>
      <c r="J756" s="18">
        <v>2</v>
      </c>
      <c r="K756" s="18">
        <v>0</v>
      </c>
      <c r="T756" s="3">
        <v>5</v>
      </c>
      <c r="U756" s="3">
        <v>9</v>
      </c>
      <c r="V756" s="3">
        <v>3</v>
      </c>
      <c r="X756" s="2" t="s">
        <v>1486</v>
      </c>
      <c r="Y756" s="18">
        <v>3</v>
      </c>
      <c r="Z756" s="18">
        <v>2</v>
      </c>
      <c r="AA756" s="18">
        <v>0</v>
      </c>
      <c r="AB756" s="18">
        <v>1</v>
      </c>
      <c r="AC756" s="18">
        <v>0</v>
      </c>
      <c r="AD756" s="18">
        <v>0</v>
      </c>
      <c r="AE756" s="18" t="s">
        <v>162</v>
      </c>
      <c r="AN756" s="3">
        <v>6</v>
      </c>
      <c r="AO756" s="3">
        <v>6</v>
      </c>
      <c r="AP756" s="3">
        <v>2</v>
      </c>
      <c r="AR756" s="2" t="s">
        <v>1487</v>
      </c>
    </row>
    <row r="757" spans="1:44" ht="12.75" customHeight="1">
      <c r="A757" s="4">
        <f>DATE(85,4,18)</f>
        <v>31155</v>
      </c>
      <c r="B757" s="2" t="s">
        <v>152</v>
      </c>
      <c r="C757" s="2" t="s">
        <v>175</v>
      </c>
      <c r="E757" s="18">
        <v>0</v>
      </c>
      <c r="F757" s="18">
        <v>0</v>
      </c>
      <c r="G757" s="18">
        <v>0</v>
      </c>
      <c r="H757" s="18">
        <v>0</v>
      </c>
      <c r="I757" s="18">
        <v>0</v>
      </c>
      <c r="J757" s="18">
        <v>1</v>
      </c>
      <c r="K757" s="18">
        <v>0</v>
      </c>
      <c r="T757" s="3">
        <v>1</v>
      </c>
      <c r="U757" s="3">
        <v>4</v>
      </c>
      <c r="V757" s="3">
        <v>3</v>
      </c>
      <c r="X757" s="2" t="s">
        <v>1488</v>
      </c>
      <c r="Y757" s="18">
        <v>1</v>
      </c>
      <c r="Z757" s="18">
        <v>4</v>
      </c>
      <c r="AA757" s="18">
        <v>2</v>
      </c>
      <c r="AB757" s="18">
        <v>2</v>
      </c>
      <c r="AC757" s="18">
        <v>0</v>
      </c>
      <c r="AD757" s="18">
        <v>0</v>
      </c>
      <c r="AE757" s="18" t="s">
        <v>162</v>
      </c>
      <c r="AN757" s="3">
        <v>9</v>
      </c>
      <c r="AO757" s="3">
        <v>9</v>
      </c>
      <c r="AP757" s="3">
        <v>1</v>
      </c>
      <c r="AR757" s="2" t="s">
        <v>1489</v>
      </c>
    </row>
    <row r="758" spans="1:44" ht="12.75" customHeight="1">
      <c r="A758" s="4">
        <f>DATE(85,4,20)</f>
        <v>31157</v>
      </c>
      <c r="C758" s="2" t="s">
        <v>191</v>
      </c>
      <c r="E758" s="18">
        <v>0</v>
      </c>
      <c r="F758" s="18">
        <v>0</v>
      </c>
      <c r="G758" s="18">
        <v>0</v>
      </c>
      <c r="H758" s="18">
        <v>3</v>
      </c>
      <c r="I758" s="18">
        <v>1</v>
      </c>
      <c r="J758" s="18">
        <v>0</v>
      </c>
      <c r="K758" s="18">
        <v>0</v>
      </c>
      <c r="T758" s="3">
        <v>4</v>
      </c>
      <c r="U758" s="3">
        <v>10</v>
      </c>
      <c r="V758" s="3">
        <v>1</v>
      </c>
      <c r="X758" s="2" t="s">
        <v>1490</v>
      </c>
      <c r="Y758" s="18">
        <v>1</v>
      </c>
      <c r="Z758" s="18">
        <v>0</v>
      </c>
      <c r="AA758" s="18">
        <v>0</v>
      </c>
      <c r="AB758" s="18">
        <v>0</v>
      </c>
      <c r="AC758" s="18">
        <v>0</v>
      </c>
      <c r="AD758" s="18">
        <v>5</v>
      </c>
      <c r="AE758" s="18">
        <v>1</v>
      </c>
      <c r="AN758" s="3">
        <v>7</v>
      </c>
      <c r="AO758" s="3">
        <v>9</v>
      </c>
      <c r="AP758" s="3">
        <v>0</v>
      </c>
      <c r="AR758" s="2" t="s">
        <v>1491</v>
      </c>
    </row>
    <row r="759" spans="1:44" ht="12.75" customHeight="1">
      <c r="A759" s="4">
        <f>DATE(85,4,23)</f>
        <v>31160</v>
      </c>
      <c r="C759" s="2" t="s">
        <v>379</v>
      </c>
      <c r="E759" s="18">
        <v>0</v>
      </c>
      <c r="F759" s="18">
        <v>0</v>
      </c>
      <c r="G759" s="18">
        <v>2</v>
      </c>
      <c r="H759" s="18">
        <v>2</v>
      </c>
      <c r="I759" s="18">
        <v>1</v>
      </c>
      <c r="J759" s="18">
        <v>1</v>
      </c>
      <c r="K759" s="18" t="s">
        <v>162</v>
      </c>
      <c r="T759" s="3">
        <v>6</v>
      </c>
      <c r="U759" s="3">
        <v>7</v>
      </c>
      <c r="V759" s="3">
        <v>0</v>
      </c>
      <c r="X759" s="2" t="s">
        <v>1457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N759" s="3">
        <v>0</v>
      </c>
      <c r="AO759" s="3">
        <v>2</v>
      </c>
      <c r="AP759" s="3">
        <v>1</v>
      </c>
      <c r="AR759" s="2" t="s">
        <v>1496</v>
      </c>
    </row>
    <row r="760" spans="1:44" ht="12.75" customHeight="1">
      <c r="A760" s="4">
        <f>DATE(85,4,25)</f>
        <v>31162</v>
      </c>
      <c r="C760" s="2" t="s">
        <v>388</v>
      </c>
      <c r="E760" s="18">
        <v>3</v>
      </c>
      <c r="F760" s="18">
        <v>3</v>
      </c>
      <c r="G760" s="18">
        <v>4</v>
      </c>
      <c r="H760" s="18">
        <v>4</v>
      </c>
      <c r="I760" s="18" t="s">
        <v>162</v>
      </c>
      <c r="T760" s="3">
        <v>14</v>
      </c>
      <c r="U760" s="3">
        <v>11</v>
      </c>
      <c r="V760" s="3">
        <v>0</v>
      </c>
      <c r="X760" s="2" t="s">
        <v>1490</v>
      </c>
      <c r="Y760" s="18">
        <v>1</v>
      </c>
      <c r="Z760" s="18">
        <v>0</v>
      </c>
      <c r="AA760" s="18">
        <v>0</v>
      </c>
      <c r="AB760" s="18">
        <v>1</v>
      </c>
      <c r="AC760" s="18">
        <v>0</v>
      </c>
      <c r="AN760" s="3">
        <v>2</v>
      </c>
      <c r="AO760" s="3">
        <v>6</v>
      </c>
      <c r="AP760" s="3">
        <v>2</v>
      </c>
      <c r="AR760" s="2" t="s">
        <v>1497</v>
      </c>
    </row>
    <row r="761" spans="1:44" ht="12.75" customHeight="1">
      <c r="A761" s="4">
        <f>DATE(85,4,26)</f>
        <v>31163</v>
      </c>
      <c r="C761" s="2" t="s">
        <v>385</v>
      </c>
      <c r="E761" s="18">
        <v>1</v>
      </c>
      <c r="F761" s="18">
        <v>0</v>
      </c>
      <c r="G761" s="18">
        <v>1</v>
      </c>
      <c r="H761" s="18">
        <v>2</v>
      </c>
      <c r="I761" s="18">
        <v>2</v>
      </c>
      <c r="J761" s="18">
        <v>4</v>
      </c>
      <c r="K761" s="18" t="s">
        <v>162</v>
      </c>
      <c r="T761" s="3">
        <v>10</v>
      </c>
      <c r="U761" s="3">
        <v>12</v>
      </c>
      <c r="V761" s="3">
        <v>4</v>
      </c>
      <c r="X761" s="2" t="s">
        <v>1498</v>
      </c>
      <c r="Y761" s="18">
        <v>0</v>
      </c>
      <c r="Z761" s="18">
        <v>0</v>
      </c>
      <c r="AA761" s="18">
        <v>1</v>
      </c>
      <c r="AB761" s="18">
        <v>1</v>
      </c>
      <c r="AC761" s="18">
        <v>1</v>
      </c>
      <c r="AD761" s="18">
        <v>0</v>
      </c>
      <c r="AE761" s="18">
        <v>2</v>
      </c>
      <c r="AN761" s="3">
        <v>5</v>
      </c>
      <c r="AO761" s="3">
        <v>6</v>
      </c>
      <c r="AP761" s="3">
        <v>1</v>
      </c>
      <c r="AR761" s="2" t="s">
        <v>1499</v>
      </c>
    </row>
    <row r="762" spans="1:44" ht="12.75" customHeight="1">
      <c r="A762" s="4">
        <f>DATE(85,4,27)</f>
        <v>31164</v>
      </c>
      <c r="C762" s="2" t="s">
        <v>231</v>
      </c>
      <c r="E762" s="18">
        <v>3</v>
      </c>
      <c r="F762" s="18">
        <v>1</v>
      </c>
      <c r="G762" s="18">
        <v>2</v>
      </c>
      <c r="H762" s="18">
        <v>4</v>
      </c>
      <c r="I762" s="18">
        <v>1</v>
      </c>
      <c r="T762" s="3">
        <v>11</v>
      </c>
      <c r="U762" s="3">
        <v>13</v>
      </c>
      <c r="V762" s="3">
        <v>3</v>
      </c>
      <c r="X762" s="2" t="s">
        <v>1482</v>
      </c>
      <c r="Y762" s="18">
        <v>0</v>
      </c>
      <c r="Z762" s="18">
        <v>0</v>
      </c>
      <c r="AA762" s="18">
        <v>1</v>
      </c>
      <c r="AB762" s="18">
        <v>0</v>
      </c>
      <c r="AC762" s="18">
        <v>0</v>
      </c>
      <c r="AN762" s="3">
        <v>1</v>
      </c>
      <c r="AO762" s="3">
        <v>4</v>
      </c>
      <c r="AP762" s="3">
        <v>3</v>
      </c>
      <c r="AR762" s="2" t="s">
        <v>1500</v>
      </c>
    </row>
    <row r="763" spans="1:44" ht="12.75" customHeight="1">
      <c r="A763" s="4">
        <f>DATE(85,4,27)</f>
        <v>31164</v>
      </c>
      <c r="C763" s="2" t="s">
        <v>367</v>
      </c>
      <c r="E763" s="18">
        <v>0</v>
      </c>
      <c r="F763" s="18">
        <v>1</v>
      </c>
      <c r="G763" s="18">
        <v>5</v>
      </c>
      <c r="H763" s="18">
        <v>1</v>
      </c>
      <c r="I763" s="18">
        <v>0</v>
      </c>
      <c r="J763" s="18">
        <v>3</v>
      </c>
      <c r="T763" s="3">
        <v>10</v>
      </c>
      <c r="U763" s="3">
        <v>13</v>
      </c>
      <c r="V763" s="3">
        <v>2</v>
      </c>
      <c r="X763" s="2" t="s">
        <v>1448</v>
      </c>
      <c r="Y763" s="18">
        <v>0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N763" s="3">
        <v>0</v>
      </c>
      <c r="AO763" s="3">
        <v>3</v>
      </c>
      <c r="AP763" s="3">
        <v>4</v>
      </c>
      <c r="AR763" s="2" t="s">
        <v>1501</v>
      </c>
    </row>
    <row r="764" spans="1:44" ht="12.75" customHeight="1">
      <c r="A764" s="4">
        <f>DATE(85,4,30)</f>
        <v>31167</v>
      </c>
      <c r="B764" s="2" t="s">
        <v>152</v>
      </c>
      <c r="C764" s="2" t="s">
        <v>174</v>
      </c>
      <c r="E764" s="18">
        <v>2</v>
      </c>
      <c r="F764" s="18">
        <v>0</v>
      </c>
      <c r="G764" s="18">
        <v>0</v>
      </c>
      <c r="H764" s="18">
        <v>6</v>
      </c>
      <c r="I764" s="18">
        <v>0</v>
      </c>
      <c r="J764" s="18">
        <v>1</v>
      </c>
      <c r="K764" s="18">
        <v>0</v>
      </c>
      <c r="T764" s="3">
        <v>9</v>
      </c>
      <c r="U764" s="3">
        <v>10</v>
      </c>
      <c r="V764" s="3">
        <v>3</v>
      </c>
      <c r="X764" s="2" t="s">
        <v>1502</v>
      </c>
      <c r="Y764" s="18">
        <v>2</v>
      </c>
      <c r="Z764" s="18">
        <v>1</v>
      </c>
      <c r="AA764" s="18">
        <v>1</v>
      </c>
      <c r="AB764" s="18">
        <v>0</v>
      </c>
      <c r="AC764" s="18">
        <v>0</v>
      </c>
      <c r="AD764" s="18">
        <v>7</v>
      </c>
      <c r="AE764" s="18" t="s">
        <v>162</v>
      </c>
      <c r="AN764" s="3">
        <v>11</v>
      </c>
      <c r="AO764" s="3">
        <v>12</v>
      </c>
      <c r="AP764" s="3">
        <v>1</v>
      </c>
      <c r="AR764" s="2" t="s">
        <v>1503</v>
      </c>
    </row>
    <row r="765" spans="1:44" ht="12.75" customHeight="1">
      <c r="A765" s="4">
        <f>DATE(85,5,3)</f>
        <v>31170</v>
      </c>
      <c r="C765" s="2" t="s">
        <v>374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1</v>
      </c>
      <c r="K765" s="18">
        <v>0</v>
      </c>
      <c r="T765" s="3">
        <v>1</v>
      </c>
      <c r="U765" s="3">
        <v>3</v>
      </c>
      <c r="V765" s="3">
        <v>5</v>
      </c>
      <c r="X765" s="2" t="s">
        <v>1457</v>
      </c>
      <c r="Y765" s="18">
        <v>1</v>
      </c>
      <c r="Z765" s="18">
        <v>0</v>
      </c>
      <c r="AA765" s="18">
        <v>1</v>
      </c>
      <c r="AB765" s="18">
        <v>0</v>
      </c>
      <c r="AC765" s="18">
        <v>0</v>
      </c>
      <c r="AD765" s="18">
        <v>3</v>
      </c>
      <c r="AE765" s="18">
        <v>1</v>
      </c>
      <c r="AN765" s="3">
        <v>6</v>
      </c>
      <c r="AO765" s="3">
        <v>9</v>
      </c>
      <c r="AP765" s="3">
        <v>2</v>
      </c>
      <c r="AR765" s="2" t="s">
        <v>1504</v>
      </c>
    </row>
    <row r="766" spans="1:44" ht="12.75" customHeight="1">
      <c r="A766" s="4">
        <f>DATE(85,5,5)</f>
        <v>31172</v>
      </c>
      <c r="B766" s="2" t="s">
        <v>152</v>
      </c>
      <c r="C766" s="2" t="s">
        <v>183</v>
      </c>
      <c r="E766" s="18">
        <v>3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T766" s="3">
        <v>3</v>
      </c>
      <c r="U766" s="3">
        <v>6</v>
      </c>
      <c r="V766" s="3">
        <v>2</v>
      </c>
      <c r="X766" s="2" t="s">
        <v>1450</v>
      </c>
      <c r="Y766" s="18">
        <v>1</v>
      </c>
      <c r="Z766" s="18">
        <v>0</v>
      </c>
      <c r="AA766" s="18">
        <v>1</v>
      </c>
      <c r="AB766" s="18">
        <v>0</v>
      </c>
      <c r="AC766" s="18">
        <v>0</v>
      </c>
      <c r="AD766" s="18">
        <v>0</v>
      </c>
      <c r="AE766" s="18">
        <v>0</v>
      </c>
      <c r="AN766" s="3">
        <v>2</v>
      </c>
      <c r="AO766" s="3">
        <v>6</v>
      </c>
      <c r="AP766" s="3">
        <v>2</v>
      </c>
      <c r="AR766" s="2" t="s">
        <v>1505</v>
      </c>
    </row>
    <row r="767" spans="1:44" ht="12.75" customHeight="1">
      <c r="A767" s="4">
        <f>DATE(85,5,6)</f>
        <v>31173</v>
      </c>
      <c r="C767" s="2" t="s">
        <v>236</v>
      </c>
      <c r="E767" s="18">
        <v>0</v>
      </c>
      <c r="F767" s="18">
        <v>0</v>
      </c>
      <c r="G767" s="18">
        <v>0</v>
      </c>
      <c r="H767" s="18">
        <v>0</v>
      </c>
      <c r="I767" s="18">
        <v>6</v>
      </c>
      <c r="J767" s="18">
        <v>0</v>
      </c>
      <c r="K767" s="18">
        <v>1</v>
      </c>
      <c r="T767" s="3">
        <v>7</v>
      </c>
      <c r="U767" s="3">
        <v>4</v>
      </c>
      <c r="V767" s="3">
        <v>2</v>
      </c>
      <c r="X767" s="2" t="s">
        <v>1457</v>
      </c>
      <c r="Y767" s="18">
        <v>0</v>
      </c>
      <c r="Z767" s="18">
        <v>0</v>
      </c>
      <c r="AA767" s="18">
        <v>0</v>
      </c>
      <c r="AB767" s="18">
        <v>0</v>
      </c>
      <c r="AC767" s="18">
        <v>2</v>
      </c>
      <c r="AD767" s="18">
        <v>0</v>
      </c>
      <c r="AE767" s="18">
        <v>4</v>
      </c>
      <c r="AN767" s="3">
        <v>6</v>
      </c>
      <c r="AO767" s="3">
        <v>6</v>
      </c>
      <c r="AP767" s="3">
        <v>0</v>
      </c>
      <c r="AR767" s="2" t="s">
        <v>1506</v>
      </c>
    </row>
    <row r="768" spans="1:44" ht="12.75" customHeight="1">
      <c r="A768" s="4">
        <f>DATE(85,5,7)</f>
        <v>31174</v>
      </c>
      <c r="B768" s="2" t="s">
        <v>152</v>
      </c>
      <c r="C768" s="2" t="s">
        <v>305</v>
      </c>
      <c r="E768" s="18">
        <v>0</v>
      </c>
      <c r="F768" s="18">
        <v>0</v>
      </c>
      <c r="G768" s="18">
        <v>0</v>
      </c>
      <c r="H768" s="18">
        <v>2</v>
      </c>
      <c r="I768" s="18">
        <v>9</v>
      </c>
      <c r="J768" s="18">
        <v>4</v>
      </c>
      <c r="K768" s="18">
        <v>3</v>
      </c>
      <c r="T768" s="3">
        <v>18</v>
      </c>
      <c r="U768" s="3">
        <v>23</v>
      </c>
      <c r="V768" s="3">
        <v>3</v>
      </c>
      <c r="X768" s="2" t="s">
        <v>1507</v>
      </c>
      <c r="Y768" s="18">
        <v>0</v>
      </c>
      <c r="Z768" s="18">
        <v>1</v>
      </c>
      <c r="AA768" s="18">
        <v>2</v>
      </c>
      <c r="AB768" s="18">
        <v>5</v>
      </c>
      <c r="AC768" s="18">
        <v>0</v>
      </c>
      <c r="AD768" s="18">
        <v>1</v>
      </c>
      <c r="AE768" s="18">
        <v>0</v>
      </c>
      <c r="AN768" s="3">
        <v>9</v>
      </c>
      <c r="AO768" s="3">
        <v>8</v>
      </c>
      <c r="AP768" s="3">
        <v>4</v>
      </c>
      <c r="AR768" s="2" t="s">
        <v>1508</v>
      </c>
    </row>
    <row r="769" spans="1:44" ht="12.75" customHeight="1">
      <c r="A769" s="4">
        <f>DATE(85,5,9)</f>
        <v>31176</v>
      </c>
      <c r="C769" s="2" t="s">
        <v>175</v>
      </c>
      <c r="E769" s="18">
        <v>1</v>
      </c>
      <c r="F769" s="18">
        <v>0</v>
      </c>
      <c r="G769" s="18">
        <v>6</v>
      </c>
      <c r="H769" s="18">
        <v>9</v>
      </c>
      <c r="I769" s="18">
        <v>1</v>
      </c>
      <c r="J769" s="18">
        <v>0</v>
      </c>
      <c r="K769" s="18">
        <v>1</v>
      </c>
      <c r="T769" s="3">
        <v>18</v>
      </c>
      <c r="U769" s="3">
        <v>15</v>
      </c>
      <c r="V769" s="3">
        <v>1</v>
      </c>
      <c r="X769" s="2" t="s">
        <v>1509</v>
      </c>
      <c r="Y769" s="18">
        <v>0</v>
      </c>
      <c r="Z769" s="18">
        <v>0</v>
      </c>
      <c r="AA769" s="18">
        <v>0</v>
      </c>
      <c r="AB769" s="18">
        <v>8</v>
      </c>
      <c r="AC769" s="18">
        <v>7</v>
      </c>
      <c r="AD769" s="18">
        <v>2</v>
      </c>
      <c r="AE769" s="18">
        <v>0</v>
      </c>
      <c r="AN769" s="3">
        <v>17</v>
      </c>
      <c r="AO769" s="3">
        <v>14</v>
      </c>
      <c r="AP769" s="3">
        <v>3</v>
      </c>
      <c r="AR769" s="2" t="s">
        <v>1510</v>
      </c>
    </row>
    <row r="770" spans="1:44" ht="12.75" customHeight="1">
      <c r="A770" s="4">
        <f>DATE(85,5,14)</f>
        <v>31181</v>
      </c>
      <c r="B770" s="2" t="s">
        <v>152</v>
      </c>
      <c r="C770" s="2" t="s">
        <v>388</v>
      </c>
      <c r="E770" s="18">
        <v>0</v>
      </c>
      <c r="F770" s="18">
        <v>0</v>
      </c>
      <c r="G770" s="18">
        <v>1</v>
      </c>
      <c r="H770" s="18">
        <v>2</v>
      </c>
      <c r="I770" s="18">
        <v>0</v>
      </c>
      <c r="J770" s="18">
        <v>3</v>
      </c>
      <c r="K770" s="18">
        <v>3</v>
      </c>
      <c r="T770" s="3">
        <v>9</v>
      </c>
      <c r="U770" s="3">
        <v>10</v>
      </c>
      <c r="V770" s="3">
        <v>2</v>
      </c>
      <c r="X770" s="2" t="s">
        <v>1498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2</v>
      </c>
      <c r="AN770" s="3">
        <v>2</v>
      </c>
      <c r="AO770" s="3">
        <v>5</v>
      </c>
      <c r="AP770" s="3">
        <v>3</v>
      </c>
      <c r="AR770" s="2" t="s">
        <v>1511</v>
      </c>
    </row>
    <row r="771" spans="1:44" ht="12.75" customHeight="1">
      <c r="A771" s="4">
        <f>DATE(85,5,16)</f>
        <v>31183</v>
      </c>
      <c r="B771" s="2" t="s">
        <v>239</v>
      </c>
      <c r="C771" s="2" t="s">
        <v>191</v>
      </c>
      <c r="D771" s="2" t="s">
        <v>258</v>
      </c>
      <c r="E771" s="18">
        <v>0</v>
      </c>
      <c r="F771" s="18">
        <v>0</v>
      </c>
      <c r="G771" s="18">
        <v>2</v>
      </c>
      <c r="H771" s="18">
        <v>0</v>
      </c>
      <c r="I771" s="18">
        <v>2</v>
      </c>
      <c r="J771" s="18">
        <v>0</v>
      </c>
      <c r="K771" s="18">
        <v>0</v>
      </c>
      <c r="T771" s="3">
        <v>4</v>
      </c>
      <c r="U771" s="3">
        <v>5</v>
      </c>
      <c r="V771" s="3">
        <v>6</v>
      </c>
      <c r="X771" s="2" t="s">
        <v>1457</v>
      </c>
      <c r="Y771" s="18">
        <v>1</v>
      </c>
      <c r="Z771" s="18">
        <v>0</v>
      </c>
      <c r="AA771" s="18">
        <v>1</v>
      </c>
      <c r="AB771" s="18">
        <v>1</v>
      </c>
      <c r="AC771" s="18">
        <v>0</v>
      </c>
      <c r="AD771" s="18">
        <v>0</v>
      </c>
      <c r="AE771" s="18">
        <v>2</v>
      </c>
      <c r="AN771" s="3">
        <v>5</v>
      </c>
      <c r="AO771" s="3">
        <v>5</v>
      </c>
      <c r="AP771" s="3">
        <v>2</v>
      </c>
      <c r="AR771" s="2" t="s">
        <v>1512</v>
      </c>
    </row>
    <row r="772" spans="1:44" ht="12.75" customHeight="1">
      <c r="A772" s="4">
        <f>DATE(85,5,20)</f>
        <v>31187</v>
      </c>
      <c r="B772" s="2" t="s">
        <v>152</v>
      </c>
      <c r="C772" s="2" t="s">
        <v>379</v>
      </c>
      <c r="E772" s="18">
        <v>1</v>
      </c>
      <c r="F772" s="18">
        <v>0</v>
      </c>
      <c r="G772" s="18">
        <v>3</v>
      </c>
      <c r="H772" s="18">
        <v>5</v>
      </c>
      <c r="I772" s="18">
        <v>6</v>
      </c>
      <c r="T772" s="3">
        <v>15</v>
      </c>
      <c r="U772" s="3">
        <v>16</v>
      </c>
      <c r="V772" s="3">
        <v>4</v>
      </c>
      <c r="X772" s="2" t="s">
        <v>1513</v>
      </c>
      <c r="Y772" s="18">
        <v>2</v>
      </c>
      <c r="Z772" s="18">
        <v>1</v>
      </c>
      <c r="AA772" s="18">
        <v>1</v>
      </c>
      <c r="AB772" s="18">
        <v>0</v>
      </c>
      <c r="AC772" s="18">
        <v>0</v>
      </c>
      <c r="AN772" s="3">
        <v>4</v>
      </c>
      <c r="AO772" s="3">
        <v>4</v>
      </c>
      <c r="AP772" s="3">
        <v>5</v>
      </c>
      <c r="AR772" s="2" t="s">
        <v>1514</v>
      </c>
    </row>
    <row r="773" ht="12.75" customHeight="1">
      <c r="A773" s="4"/>
    </row>
    <row r="774" spans="1:45" ht="12.75" customHeight="1">
      <c r="A774" s="4">
        <f>DATE(86,3,26)</f>
        <v>31497</v>
      </c>
      <c r="B774" s="2" t="s">
        <v>152</v>
      </c>
      <c r="C774" s="2" t="s">
        <v>1515</v>
      </c>
      <c r="E774" s="18">
        <v>3</v>
      </c>
      <c r="F774" s="18">
        <v>0</v>
      </c>
      <c r="G774" s="18">
        <v>2</v>
      </c>
      <c r="H774" s="18">
        <v>1</v>
      </c>
      <c r="I774" s="18">
        <v>0</v>
      </c>
      <c r="J774" s="18">
        <v>3</v>
      </c>
      <c r="K774" s="18">
        <v>1</v>
      </c>
      <c r="T774" s="3">
        <v>10</v>
      </c>
      <c r="U774" s="3">
        <v>11</v>
      </c>
      <c r="V774" s="3">
        <v>3</v>
      </c>
      <c r="X774" s="2" t="s">
        <v>1516</v>
      </c>
      <c r="Y774" s="18">
        <v>1</v>
      </c>
      <c r="Z774" s="18">
        <v>0</v>
      </c>
      <c r="AA774" s="18">
        <v>1</v>
      </c>
      <c r="AB774" s="18">
        <v>0</v>
      </c>
      <c r="AC774" s="18">
        <v>0</v>
      </c>
      <c r="AD774" s="18">
        <v>0</v>
      </c>
      <c r="AE774" s="18">
        <v>0</v>
      </c>
      <c r="AN774" s="3">
        <v>2</v>
      </c>
      <c r="AO774" s="3">
        <v>4</v>
      </c>
      <c r="AP774" s="3">
        <v>3</v>
      </c>
      <c r="AR774" s="2" t="s">
        <v>1517</v>
      </c>
      <c r="AS774" s="2" t="s">
        <v>1040</v>
      </c>
    </row>
    <row r="775" spans="1:46" ht="12.75" customHeight="1">
      <c r="A775" s="4">
        <f>DATE(86,3,27)</f>
        <v>31498</v>
      </c>
      <c r="B775" s="2" t="s">
        <v>152</v>
      </c>
      <c r="C775" s="2" t="s">
        <v>1518</v>
      </c>
      <c r="E775" s="18">
        <v>0</v>
      </c>
      <c r="F775" s="18">
        <v>0</v>
      </c>
      <c r="G775" s="18">
        <v>1</v>
      </c>
      <c r="H775" s="18">
        <v>1</v>
      </c>
      <c r="I775" s="18">
        <v>1</v>
      </c>
      <c r="J775" s="18">
        <v>1</v>
      </c>
      <c r="K775" s="18">
        <v>10</v>
      </c>
      <c r="T775" s="3">
        <v>14</v>
      </c>
      <c r="U775" s="3">
        <v>6</v>
      </c>
      <c r="V775" s="3">
        <v>1</v>
      </c>
      <c r="X775" s="2" t="s">
        <v>1519</v>
      </c>
      <c r="Y775" s="18">
        <v>0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N775" s="3">
        <v>0</v>
      </c>
      <c r="AO775" s="3">
        <v>3</v>
      </c>
      <c r="AP775" s="3">
        <v>5</v>
      </c>
      <c r="AR775" s="2" t="s">
        <v>1520</v>
      </c>
      <c r="AS775" s="2" t="s">
        <v>124</v>
      </c>
      <c r="AT775" s="2" t="s">
        <v>142</v>
      </c>
    </row>
    <row r="776" spans="1:45" ht="12.75" customHeight="1">
      <c r="A776" s="4">
        <f>DATE(86,4,1)</f>
        <v>31503</v>
      </c>
      <c r="B776" s="2" t="s">
        <v>152</v>
      </c>
      <c r="C776" s="2" t="s">
        <v>388</v>
      </c>
      <c r="E776" s="18">
        <v>0</v>
      </c>
      <c r="F776" s="18">
        <v>3</v>
      </c>
      <c r="G776" s="18">
        <v>1</v>
      </c>
      <c r="H776" s="18">
        <v>0</v>
      </c>
      <c r="I776" s="18">
        <v>0</v>
      </c>
      <c r="J776" s="18">
        <v>2</v>
      </c>
      <c r="K776" s="18">
        <v>0</v>
      </c>
      <c r="T776" s="3">
        <v>6</v>
      </c>
      <c r="U776" s="3">
        <v>4</v>
      </c>
      <c r="V776" s="3">
        <v>3</v>
      </c>
      <c r="X776" s="2" t="s">
        <v>1521</v>
      </c>
      <c r="Y776" s="18">
        <v>0</v>
      </c>
      <c r="Z776" s="18">
        <v>1</v>
      </c>
      <c r="AA776" s="18">
        <v>0</v>
      </c>
      <c r="AB776" s="18">
        <v>1</v>
      </c>
      <c r="AC776" s="18">
        <v>0</v>
      </c>
      <c r="AD776" s="18">
        <v>5</v>
      </c>
      <c r="AE776" s="18" t="s">
        <v>162</v>
      </c>
      <c r="AN776" s="3">
        <v>7</v>
      </c>
      <c r="AO776" s="3">
        <v>8</v>
      </c>
      <c r="AP776" s="3">
        <v>3</v>
      </c>
      <c r="AR776" s="2" t="s">
        <v>1522</v>
      </c>
      <c r="AS776" s="2" t="s">
        <v>1102</v>
      </c>
    </row>
    <row r="777" spans="1:44" ht="12.75" customHeight="1">
      <c r="A777" s="4">
        <f>DATE(86,4,3)</f>
        <v>31505</v>
      </c>
      <c r="C777" s="2" t="s">
        <v>174</v>
      </c>
      <c r="E777" s="18">
        <v>3</v>
      </c>
      <c r="F777" s="18">
        <v>0</v>
      </c>
      <c r="G777" s="18">
        <v>0</v>
      </c>
      <c r="H777" s="18">
        <v>0</v>
      </c>
      <c r="I777" s="18">
        <v>2</v>
      </c>
      <c r="J777" s="18">
        <v>0</v>
      </c>
      <c r="K777" s="18">
        <v>1</v>
      </c>
      <c r="L777" s="18">
        <v>0</v>
      </c>
      <c r="T777" s="3">
        <v>6</v>
      </c>
      <c r="U777" s="3">
        <v>7</v>
      </c>
      <c r="V777" s="3">
        <v>1</v>
      </c>
      <c r="X777" s="2" t="s">
        <v>1523</v>
      </c>
      <c r="Y777" s="18">
        <v>2</v>
      </c>
      <c r="Z777" s="18">
        <v>0</v>
      </c>
      <c r="AA777" s="18">
        <v>2</v>
      </c>
      <c r="AB777" s="18">
        <v>0</v>
      </c>
      <c r="AC777" s="18">
        <v>2</v>
      </c>
      <c r="AD777" s="18">
        <v>0</v>
      </c>
      <c r="AE777" s="18">
        <v>0</v>
      </c>
      <c r="AF777" s="18">
        <v>2</v>
      </c>
      <c r="AN777" s="3">
        <v>8</v>
      </c>
      <c r="AO777" s="3">
        <v>12</v>
      </c>
      <c r="AP777" s="3">
        <v>2</v>
      </c>
      <c r="AR777" s="2" t="s">
        <v>1524</v>
      </c>
    </row>
    <row r="778" spans="1:44" ht="12.75" customHeight="1">
      <c r="A778" s="4">
        <f>DATE(86,4,5)</f>
        <v>31507</v>
      </c>
      <c r="B778" s="2" t="s">
        <v>152</v>
      </c>
      <c r="C778" s="2" t="s">
        <v>367</v>
      </c>
      <c r="E778" s="18">
        <v>2</v>
      </c>
      <c r="F778" s="18">
        <v>0</v>
      </c>
      <c r="G778" s="18">
        <v>2</v>
      </c>
      <c r="H778" s="18">
        <v>2</v>
      </c>
      <c r="I778" s="18">
        <v>3</v>
      </c>
      <c r="J778" s="18">
        <v>8</v>
      </c>
      <c r="T778" s="3">
        <v>17</v>
      </c>
      <c r="U778" s="3">
        <v>16</v>
      </c>
      <c r="V778" s="3">
        <v>3</v>
      </c>
      <c r="X778" s="2" t="s">
        <v>1516</v>
      </c>
      <c r="Y778" s="18">
        <v>0</v>
      </c>
      <c r="Z778" s="18">
        <v>1</v>
      </c>
      <c r="AA778" s="18">
        <v>1</v>
      </c>
      <c r="AB778" s="18">
        <v>1</v>
      </c>
      <c r="AC778" s="18">
        <v>1</v>
      </c>
      <c r="AD778" s="18">
        <v>0</v>
      </c>
      <c r="AN778" s="3">
        <v>4</v>
      </c>
      <c r="AO778" s="3">
        <v>6</v>
      </c>
      <c r="AP778" s="3">
        <v>5</v>
      </c>
      <c r="AR778" s="2" t="s">
        <v>1525</v>
      </c>
    </row>
    <row r="779" spans="1:44" ht="12.75" customHeight="1">
      <c r="A779" s="4">
        <f>DATE(86,4,8)</f>
        <v>31510</v>
      </c>
      <c r="B779" s="2" t="s">
        <v>152</v>
      </c>
      <c r="C779" s="2" t="s">
        <v>374</v>
      </c>
      <c r="E779" s="18">
        <v>6</v>
      </c>
      <c r="F779" s="18">
        <v>0</v>
      </c>
      <c r="G779" s="18">
        <v>5</v>
      </c>
      <c r="H779" s="18">
        <v>2</v>
      </c>
      <c r="I779" s="18">
        <v>0</v>
      </c>
      <c r="T779" s="3">
        <v>13</v>
      </c>
      <c r="U779" s="3">
        <v>18</v>
      </c>
      <c r="V779" s="3">
        <v>0</v>
      </c>
      <c r="X779" s="2" t="s">
        <v>1526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N779" s="3">
        <v>0</v>
      </c>
      <c r="AO779" s="3">
        <v>1</v>
      </c>
      <c r="AP779" s="3">
        <v>0</v>
      </c>
      <c r="AR779" s="2" t="s">
        <v>1527</v>
      </c>
    </row>
    <row r="780" spans="1:44" ht="12.75" customHeight="1">
      <c r="A780" s="4">
        <f>DATE(86,4,14)</f>
        <v>31516</v>
      </c>
      <c r="B780" s="2" t="s">
        <v>152</v>
      </c>
      <c r="C780" s="2" t="s">
        <v>236</v>
      </c>
      <c r="E780" s="18">
        <v>1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T780" s="3">
        <v>1</v>
      </c>
      <c r="U780" s="3">
        <v>4</v>
      </c>
      <c r="V780" s="3">
        <v>2</v>
      </c>
      <c r="X780" s="2" t="s">
        <v>1528</v>
      </c>
      <c r="Y780" s="18">
        <v>0</v>
      </c>
      <c r="Z780" s="18">
        <v>0</v>
      </c>
      <c r="AA780" s="18">
        <v>0</v>
      </c>
      <c r="AB780" s="18">
        <v>4</v>
      </c>
      <c r="AC780" s="18">
        <v>1</v>
      </c>
      <c r="AD780" s="18">
        <v>1</v>
      </c>
      <c r="AE780" s="18" t="s">
        <v>162</v>
      </c>
      <c r="AN780" s="3">
        <v>6</v>
      </c>
      <c r="AO780" s="3">
        <v>12</v>
      </c>
      <c r="AP780" s="3">
        <v>1</v>
      </c>
      <c r="AR780" s="2" t="s">
        <v>1529</v>
      </c>
    </row>
    <row r="781" spans="1:44" ht="12.75" customHeight="1">
      <c r="A781" s="4">
        <f>DATE(86,4,18)</f>
        <v>31520</v>
      </c>
      <c r="C781" s="2" t="s">
        <v>305</v>
      </c>
      <c r="E781" s="18">
        <v>0</v>
      </c>
      <c r="F781" s="18">
        <v>1</v>
      </c>
      <c r="G781" s="18">
        <v>0</v>
      </c>
      <c r="H781" s="18">
        <v>0</v>
      </c>
      <c r="I781" s="18">
        <v>0</v>
      </c>
      <c r="J781" s="18">
        <v>2</v>
      </c>
      <c r="K781" s="18">
        <v>1</v>
      </c>
      <c r="T781" s="3">
        <v>4</v>
      </c>
      <c r="U781" s="3">
        <v>11</v>
      </c>
      <c r="V781" s="3">
        <v>2</v>
      </c>
      <c r="X781" s="2" t="s">
        <v>1530</v>
      </c>
      <c r="Y781" s="18">
        <v>0</v>
      </c>
      <c r="Z781" s="18">
        <v>1</v>
      </c>
      <c r="AA781" s="18">
        <v>1</v>
      </c>
      <c r="AB781" s="18">
        <v>0</v>
      </c>
      <c r="AC781" s="18">
        <v>1</v>
      </c>
      <c r="AD781" s="18">
        <v>0</v>
      </c>
      <c r="AE781" s="18">
        <v>0</v>
      </c>
      <c r="AN781" s="3">
        <v>3</v>
      </c>
      <c r="AO781" s="3">
        <v>7</v>
      </c>
      <c r="AP781" s="3">
        <v>1</v>
      </c>
      <c r="AR781" s="2" t="s">
        <v>1531</v>
      </c>
    </row>
    <row r="782" spans="1:44" ht="12.75" customHeight="1">
      <c r="A782" s="4">
        <f>DATE(86,4,19)</f>
        <v>31521</v>
      </c>
      <c r="B782" s="2" t="s">
        <v>152</v>
      </c>
      <c r="C782" s="2" t="s">
        <v>191</v>
      </c>
      <c r="E782" s="18">
        <v>1</v>
      </c>
      <c r="F782" s="18">
        <v>0</v>
      </c>
      <c r="G782" s="18">
        <v>5</v>
      </c>
      <c r="H782" s="18">
        <v>0</v>
      </c>
      <c r="I782" s="18">
        <v>0</v>
      </c>
      <c r="J782" s="18">
        <v>1</v>
      </c>
      <c r="K782" s="18">
        <v>0</v>
      </c>
      <c r="T782" s="3">
        <v>7</v>
      </c>
      <c r="U782" s="3">
        <v>8</v>
      </c>
      <c r="V782" s="3">
        <v>4</v>
      </c>
      <c r="X782" s="2" t="s">
        <v>1530</v>
      </c>
      <c r="Y782" s="18">
        <v>1</v>
      </c>
      <c r="Z782" s="18">
        <v>0</v>
      </c>
      <c r="AA782" s="18">
        <v>5</v>
      </c>
      <c r="AB782" s="18">
        <v>0</v>
      </c>
      <c r="AC782" s="18">
        <v>5</v>
      </c>
      <c r="AD782" s="18">
        <v>2</v>
      </c>
      <c r="AE782" s="18" t="s">
        <v>162</v>
      </c>
      <c r="AN782" s="3">
        <v>13</v>
      </c>
      <c r="AO782" s="3">
        <v>12</v>
      </c>
      <c r="AP782" s="3">
        <v>5</v>
      </c>
      <c r="AR782" s="2" t="s">
        <v>1532</v>
      </c>
    </row>
    <row r="783" spans="1:44" ht="12.75" customHeight="1">
      <c r="A783" s="4">
        <f>DATE(86,4,23)</f>
        <v>31525</v>
      </c>
      <c r="B783" s="2" t="s">
        <v>152</v>
      </c>
      <c r="C783" s="2" t="s">
        <v>175</v>
      </c>
      <c r="E783" s="18">
        <v>1</v>
      </c>
      <c r="F783" s="18">
        <v>0</v>
      </c>
      <c r="G783" s="18">
        <v>7</v>
      </c>
      <c r="H783" s="18">
        <v>1</v>
      </c>
      <c r="I783" s="18">
        <v>1</v>
      </c>
      <c r="J783" s="18">
        <v>0</v>
      </c>
      <c r="K783" s="18">
        <v>0</v>
      </c>
      <c r="T783" s="3">
        <v>10</v>
      </c>
      <c r="U783" s="3">
        <v>12</v>
      </c>
      <c r="V783" s="3">
        <v>5</v>
      </c>
      <c r="X783" s="2" t="s">
        <v>1498</v>
      </c>
      <c r="Y783" s="18">
        <v>1</v>
      </c>
      <c r="Z783" s="18">
        <v>0</v>
      </c>
      <c r="AA783" s="18">
        <v>0</v>
      </c>
      <c r="AB783" s="18">
        <v>2</v>
      </c>
      <c r="AC783" s="18">
        <v>0</v>
      </c>
      <c r="AD783" s="18">
        <v>0</v>
      </c>
      <c r="AE783" s="18">
        <v>0</v>
      </c>
      <c r="AN783" s="3">
        <v>3</v>
      </c>
      <c r="AO783" s="3">
        <v>3</v>
      </c>
      <c r="AP783" s="3">
        <v>5</v>
      </c>
      <c r="AR783" s="2" t="s">
        <v>1533</v>
      </c>
    </row>
    <row r="784" spans="1:44" ht="12.75" customHeight="1">
      <c r="A784" s="4">
        <f>DATE(86,4,24)</f>
        <v>31526</v>
      </c>
      <c r="C784" s="2" t="s">
        <v>388</v>
      </c>
      <c r="E784" s="18">
        <v>2</v>
      </c>
      <c r="F784" s="18">
        <v>1</v>
      </c>
      <c r="G784" s="18">
        <v>0</v>
      </c>
      <c r="H784" s="18">
        <v>3</v>
      </c>
      <c r="I784" s="18">
        <v>0</v>
      </c>
      <c r="J784" s="18">
        <v>8</v>
      </c>
      <c r="T784" s="3">
        <v>14</v>
      </c>
      <c r="U784" s="3">
        <v>15</v>
      </c>
      <c r="V784" s="3">
        <v>2</v>
      </c>
      <c r="X784" s="2" t="s">
        <v>1528</v>
      </c>
      <c r="Y784" s="18">
        <v>1</v>
      </c>
      <c r="Z784" s="18">
        <v>0</v>
      </c>
      <c r="AA784" s="18">
        <v>1</v>
      </c>
      <c r="AB784" s="18">
        <v>0</v>
      </c>
      <c r="AC784" s="18">
        <v>0</v>
      </c>
      <c r="AD784" s="18">
        <v>2</v>
      </c>
      <c r="AN784" s="3">
        <v>4</v>
      </c>
      <c r="AO784" s="3">
        <v>5</v>
      </c>
      <c r="AP784" s="3">
        <v>5</v>
      </c>
      <c r="AR784" s="2" t="s">
        <v>1534</v>
      </c>
    </row>
    <row r="785" spans="1:44" ht="12.75" customHeight="1">
      <c r="A785" s="4">
        <f>DATE(86,4,25)</f>
        <v>31527</v>
      </c>
      <c r="C785" s="2" t="s">
        <v>379</v>
      </c>
      <c r="E785" s="18">
        <v>1</v>
      </c>
      <c r="F785" s="18">
        <v>1</v>
      </c>
      <c r="G785" s="18">
        <v>2</v>
      </c>
      <c r="H785" s="18">
        <v>1</v>
      </c>
      <c r="I785" s="18">
        <v>0</v>
      </c>
      <c r="J785" s="18">
        <v>0</v>
      </c>
      <c r="K785" s="18" t="s">
        <v>162</v>
      </c>
      <c r="T785" s="3">
        <v>5</v>
      </c>
      <c r="U785" s="3">
        <v>9</v>
      </c>
      <c r="V785" s="3">
        <v>2</v>
      </c>
      <c r="X785" s="2" t="s">
        <v>1519</v>
      </c>
      <c r="Y785" s="18">
        <v>0</v>
      </c>
      <c r="Z785" s="18">
        <v>0</v>
      </c>
      <c r="AA785" s="18">
        <v>1</v>
      </c>
      <c r="AB785" s="18">
        <v>2</v>
      </c>
      <c r="AC785" s="18">
        <v>0</v>
      </c>
      <c r="AD785" s="18">
        <v>0</v>
      </c>
      <c r="AE785" s="18">
        <v>0</v>
      </c>
      <c r="AN785" s="3">
        <v>3</v>
      </c>
      <c r="AO785" s="3">
        <v>8</v>
      </c>
      <c r="AP785" s="3">
        <v>1</v>
      </c>
      <c r="AR785" s="2" t="s">
        <v>1535</v>
      </c>
    </row>
    <row r="786" spans="1:44" ht="12.75" customHeight="1">
      <c r="A786" s="4">
        <f>DATE(86,4,26)</f>
        <v>31528</v>
      </c>
      <c r="C786" s="2" t="s">
        <v>191</v>
      </c>
      <c r="E786" s="18">
        <v>0</v>
      </c>
      <c r="F786" s="18">
        <v>1</v>
      </c>
      <c r="G786" s="18">
        <v>0</v>
      </c>
      <c r="H786" s="18">
        <v>0</v>
      </c>
      <c r="I786" s="18">
        <v>4</v>
      </c>
      <c r="J786" s="18">
        <v>0</v>
      </c>
      <c r="K786" s="18">
        <v>1</v>
      </c>
      <c r="T786" s="3">
        <v>6</v>
      </c>
      <c r="U786" s="3">
        <v>9</v>
      </c>
      <c r="V786" s="3">
        <v>3</v>
      </c>
      <c r="X786" s="2" t="s">
        <v>1536</v>
      </c>
      <c r="Y786" s="18">
        <v>1</v>
      </c>
      <c r="Z786" s="18">
        <v>2</v>
      </c>
      <c r="AA786" s="18">
        <v>0</v>
      </c>
      <c r="AB786" s="18">
        <v>5</v>
      </c>
      <c r="AC786" s="18">
        <v>3</v>
      </c>
      <c r="AD786" s="18">
        <v>1</v>
      </c>
      <c r="AE786" s="18">
        <v>0</v>
      </c>
      <c r="AN786" s="3">
        <v>12</v>
      </c>
      <c r="AO786" s="3">
        <v>11</v>
      </c>
      <c r="AP786" s="3">
        <v>1</v>
      </c>
      <c r="AR786" s="2" t="s">
        <v>1537</v>
      </c>
    </row>
    <row r="787" spans="1:44" ht="12.75" customHeight="1">
      <c r="A787" s="4">
        <f>DATE(86,4,29)</f>
        <v>31531</v>
      </c>
      <c r="B787" s="2" t="s">
        <v>152</v>
      </c>
      <c r="C787" s="2" t="s">
        <v>174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1</v>
      </c>
      <c r="K787" s="18">
        <v>0</v>
      </c>
      <c r="T787" s="3">
        <v>1</v>
      </c>
      <c r="U787" s="3">
        <v>3</v>
      </c>
      <c r="V787" s="3">
        <v>1</v>
      </c>
      <c r="X787" s="2" t="s">
        <v>1538</v>
      </c>
      <c r="Y787" s="18">
        <v>1</v>
      </c>
      <c r="Z787" s="18">
        <v>0</v>
      </c>
      <c r="AA787" s="18">
        <v>2</v>
      </c>
      <c r="AB787" s="18">
        <v>0</v>
      </c>
      <c r="AC787" s="18">
        <v>0</v>
      </c>
      <c r="AD787" s="18">
        <v>3</v>
      </c>
      <c r="AE787" s="18" t="s">
        <v>162</v>
      </c>
      <c r="AN787" s="3">
        <v>6</v>
      </c>
      <c r="AO787" s="3">
        <v>9</v>
      </c>
      <c r="AP787" s="3">
        <v>1</v>
      </c>
      <c r="AR787" s="2" t="s">
        <v>1539</v>
      </c>
    </row>
    <row r="788" spans="1:44" ht="12.75" customHeight="1">
      <c r="A788" s="4">
        <f>DATE(86,5,1)</f>
        <v>31533</v>
      </c>
      <c r="C788" s="2" t="s">
        <v>374</v>
      </c>
      <c r="E788" s="18">
        <v>0</v>
      </c>
      <c r="F788" s="18">
        <v>1</v>
      </c>
      <c r="G788" s="18">
        <v>0</v>
      </c>
      <c r="H788" s="18">
        <v>1</v>
      </c>
      <c r="I788" s="18">
        <v>0</v>
      </c>
      <c r="J788" s="18">
        <v>0</v>
      </c>
      <c r="K788" s="18">
        <v>1</v>
      </c>
      <c r="T788" s="3">
        <v>3</v>
      </c>
      <c r="U788" s="3">
        <v>7</v>
      </c>
      <c r="V788" s="3">
        <v>1</v>
      </c>
      <c r="X788" s="2" t="s">
        <v>1540</v>
      </c>
      <c r="Y788" s="18">
        <v>1</v>
      </c>
      <c r="Z788" s="18">
        <v>1</v>
      </c>
      <c r="AA788" s="18">
        <v>0</v>
      </c>
      <c r="AB788" s="18">
        <v>0</v>
      </c>
      <c r="AC788" s="18">
        <v>0</v>
      </c>
      <c r="AD788" s="18">
        <v>2</v>
      </c>
      <c r="AE788" s="18">
        <v>0</v>
      </c>
      <c r="AN788" s="3">
        <v>4</v>
      </c>
      <c r="AO788" s="3">
        <v>7</v>
      </c>
      <c r="AP788" s="3">
        <v>3</v>
      </c>
      <c r="AR788" s="2" t="s">
        <v>1504</v>
      </c>
    </row>
    <row r="789" spans="1:44" ht="12.75" customHeight="1">
      <c r="A789" s="4">
        <f>DATE(86,5,3)</f>
        <v>31535</v>
      </c>
      <c r="C789" s="2" t="s">
        <v>183</v>
      </c>
      <c r="E789" s="18">
        <v>0</v>
      </c>
      <c r="F789" s="18">
        <v>5</v>
      </c>
      <c r="G789" s="18">
        <v>0</v>
      </c>
      <c r="H789" s="18">
        <v>3</v>
      </c>
      <c r="I789" s="18">
        <v>2</v>
      </c>
      <c r="J789" s="18">
        <v>2</v>
      </c>
      <c r="K789" s="18" t="s">
        <v>162</v>
      </c>
      <c r="T789" s="3">
        <v>12</v>
      </c>
      <c r="U789" s="3">
        <v>12</v>
      </c>
      <c r="V789" s="3">
        <v>2</v>
      </c>
      <c r="X789" s="2" t="s">
        <v>1498</v>
      </c>
      <c r="Y789" s="18">
        <v>0</v>
      </c>
      <c r="Z789" s="18">
        <v>0</v>
      </c>
      <c r="AA789" s="18">
        <v>0</v>
      </c>
      <c r="AB789" s="18">
        <v>4</v>
      </c>
      <c r="AC789" s="18">
        <v>1</v>
      </c>
      <c r="AD789" s="18">
        <v>0</v>
      </c>
      <c r="AE789" s="18">
        <v>1</v>
      </c>
      <c r="AN789" s="3">
        <v>6</v>
      </c>
      <c r="AO789" s="3">
        <v>8</v>
      </c>
      <c r="AP789" s="3">
        <v>3</v>
      </c>
      <c r="AR789" s="2" t="s">
        <v>1541</v>
      </c>
    </row>
    <row r="790" spans="1:44" ht="12.75" customHeight="1">
      <c r="A790" s="4">
        <f>DATE(86,5,6)</f>
        <v>31538</v>
      </c>
      <c r="C790" s="2" t="s">
        <v>236</v>
      </c>
      <c r="E790" s="18">
        <v>0</v>
      </c>
      <c r="F790" s="18">
        <v>0</v>
      </c>
      <c r="G790" s="18">
        <v>0</v>
      </c>
      <c r="H790" s="18">
        <v>2</v>
      </c>
      <c r="I790" s="18">
        <v>0</v>
      </c>
      <c r="T790" s="3">
        <v>2</v>
      </c>
      <c r="U790" s="3">
        <v>4</v>
      </c>
      <c r="V790" s="3">
        <v>4</v>
      </c>
      <c r="X790" s="2" t="s">
        <v>1542</v>
      </c>
      <c r="Y790" s="18">
        <v>0</v>
      </c>
      <c r="Z790" s="18">
        <v>2</v>
      </c>
      <c r="AA790" s="18">
        <v>3</v>
      </c>
      <c r="AB790" s="18">
        <v>3</v>
      </c>
      <c r="AC790" s="18">
        <v>7</v>
      </c>
      <c r="AN790" s="3">
        <v>15</v>
      </c>
      <c r="AO790" s="3">
        <v>10</v>
      </c>
      <c r="AP790" s="3">
        <v>0</v>
      </c>
      <c r="AR790" s="2" t="s">
        <v>1543</v>
      </c>
    </row>
    <row r="791" spans="1:44" ht="12.75" customHeight="1">
      <c r="A791" s="4">
        <f>DATE(86,5,8)</f>
        <v>31540</v>
      </c>
      <c r="B791" s="2" t="s">
        <v>152</v>
      </c>
      <c r="C791" s="2" t="s">
        <v>305</v>
      </c>
      <c r="E791" s="18">
        <v>2</v>
      </c>
      <c r="F791" s="18">
        <v>5</v>
      </c>
      <c r="G791" s="18">
        <v>3</v>
      </c>
      <c r="H791" s="18">
        <v>0</v>
      </c>
      <c r="I791" s="18">
        <v>0</v>
      </c>
      <c r="J791" s="18">
        <v>0</v>
      </c>
      <c r="K791" s="18">
        <v>3</v>
      </c>
      <c r="T791" s="3">
        <v>13</v>
      </c>
      <c r="U791" s="3">
        <v>14</v>
      </c>
      <c r="V791" s="3">
        <v>2</v>
      </c>
      <c r="X791" s="2" t="s">
        <v>1498</v>
      </c>
      <c r="Y791" s="18">
        <v>0</v>
      </c>
      <c r="Z791" s="18">
        <v>0</v>
      </c>
      <c r="AA791" s="18">
        <v>1</v>
      </c>
      <c r="AB791" s="18">
        <v>1</v>
      </c>
      <c r="AC791" s="18">
        <v>0</v>
      </c>
      <c r="AD791" s="18">
        <v>2</v>
      </c>
      <c r="AE791" s="18">
        <v>0</v>
      </c>
      <c r="AN791" s="3">
        <v>4</v>
      </c>
      <c r="AO791" s="3">
        <v>8</v>
      </c>
      <c r="AP791" s="3">
        <v>0</v>
      </c>
      <c r="AR791" s="2" t="s">
        <v>1544</v>
      </c>
    </row>
    <row r="792" spans="1:44" ht="12.75" customHeight="1">
      <c r="A792" s="4">
        <f>DATE(86,5,13)</f>
        <v>31545</v>
      </c>
      <c r="C792" s="2" t="s">
        <v>175</v>
      </c>
      <c r="E792" s="18">
        <v>0</v>
      </c>
      <c r="F792" s="18">
        <v>0</v>
      </c>
      <c r="G792" s="18">
        <v>1</v>
      </c>
      <c r="H792" s="18">
        <v>2</v>
      </c>
      <c r="I792" s="18">
        <v>0</v>
      </c>
      <c r="J792" s="18">
        <v>0</v>
      </c>
      <c r="K792" s="18" t="s">
        <v>162</v>
      </c>
      <c r="T792" s="3">
        <v>3</v>
      </c>
      <c r="U792" s="3">
        <v>6</v>
      </c>
      <c r="V792" s="3">
        <v>2</v>
      </c>
      <c r="X792" s="2" t="s">
        <v>1498</v>
      </c>
      <c r="Y792" s="18">
        <v>0</v>
      </c>
      <c r="Z792" s="18">
        <v>0</v>
      </c>
      <c r="AA792" s="18">
        <v>0</v>
      </c>
      <c r="AB792" s="18">
        <v>1</v>
      </c>
      <c r="AC792" s="18">
        <v>0</v>
      </c>
      <c r="AD792" s="18">
        <v>0</v>
      </c>
      <c r="AE792" s="18">
        <v>0</v>
      </c>
      <c r="AN792" s="3">
        <v>1</v>
      </c>
      <c r="AO792" s="3">
        <v>3</v>
      </c>
      <c r="AP792" s="3">
        <v>1</v>
      </c>
      <c r="AR792" s="2" t="s">
        <v>1545</v>
      </c>
    </row>
    <row r="793" spans="1:44" ht="12.75" customHeight="1">
      <c r="A793" s="4">
        <f>DATE(86,5,15)</f>
        <v>31547</v>
      </c>
      <c r="B793" s="2" t="s">
        <v>152</v>
      </c>
      <c r="C793" s="2" t="s">
        <v>379</v>
      </c>
      <c r="E793" s="18">
        <v>0</v>
      </c>
      <c r="F793" s="18">
        <v>0</v>
      </c>
      <c r="G793" s="18">
        <v>1</v>
      </c>
      <c r="H793" s="18">
        <v>0</v>
      </c>
      <c r="I793" s="18">
        <v>0</v>
      </c>
      <c r="J793" s="18">
        <v>1</v>
      </c>
      <c r="K793" s="18">
        <v>1</v>
      </c>
      <c r="T793" s="3">
        <v>3</v>
      </c>
      <c r="U793" s="3">
        <v>12</v>
      </c>
      <c r="V793" s="3">
        <v>2</v>
      </c>
      <c r="X793" s="2" t="s">
        <v>1528</v>
      </c>
      <c r="Y793" s="18">
        <v>0</v>
      </c>
      <c r="Z793" s="18">
        <v>0</v>
      </c>
      <c r="AA793" s="18">
        <v>0</v>
      </c>
      <c r="AB793" s="18">
        <v>0</v>
      </c>
      <c r="AC793" s="18">
        <v>0</v>
      </c>
      <c r="AD793" s="18">
        <v>4</v>
      </c>
      <c r="AE793" s="18" t="s">
        <v>162</v>
      </c>
      <c r="AN793" s="3">
        <v>4</v>
      </c>
      <c r="AO793" s="3">
        <v>3</v>
      </c>
      <c r="AP793" s="3">
        <v>0</v>
      </c>
      <c r="AR793" s="2" t="s">
        <v>1546</v>
      </c>
    </row>
    <row r="794" spans="1:44" ht="12.75" customHeight="1">
      <c r="A794" s="4">
        <f>DATE(86,5,21)</f>
        <v>31553</v>
      </c>
      <c r="C794" s="2" t="s">
        <v>183</v>
      </c>
      <c r="D794" s="2" t="s">
        <v>258</v>
      </c>
      <c r="E794" s="18">
        <v>0</v>
      </c>
      <c r="F794" s="18">
        <v>9</v>
      </c>
      <c r="G794" s="18">
        <v>0</v>
      </c>
      <c r="H794" s="18">
        <v>0</v>
      </c>
      <c r="I794" s="18">
        <v>0</v>
      </c>
      <c r="J794" s="18">
        <v>1</v>
      </c>
      <c r="K794" s="18" t="s">
        <v>162</v>
      </c>
      <c r="T794" s="3">
        <v>10</v>
      </c>
      <c r="U794" s="3">
        <v>9</v>
      </c>
      <c r="V794" s="3">
        <v>3</v>
      </c>
      <c r="X794" s="2" t="s">
        <v>1516</v>
      </c>
      <c r="Y794" s="18">
        <v>0</v>
      </c>
      <c r="Z794" s="18">
        <v>1</v>
      </c>
      <c r="AA794" s="18">
        <v>5</v>
      </c>
      <c r="AB794" s="18">
        <v>0</v>
      </c>
      <c r="AC794" s="18">
        <v>0</v>
      </c>
      <c r="AD794" s="18">
        <v>0</v>
      </c>
      <c r="AE794" s="18">
        <v>2</v>
      </c>
      <c r="AN794" s="3">
        <v>8</v>
      </c>
      <c r="AO794" s="3">
        <v>10</v>
      </c>
      <c r="AP794" s="3">
        <v>3</v>
      </c>
      <c r="AR794" s="2" t="s">
        <v>1547</v>
      </c>
    </row>
    <row r="795" spans="1:44" ht="12.75" customHeight="1">
      <c r="A795" s="4">
        <f>DATE(86,5,22)</f>
        <v>31554</v>
      </c>
      <c r="C795" s="2" t="s">
        <v>191</v>
      </c>
      <c r="D795" s="2" t="s">
        <v>258</v>
      </c>
      <c r="E795" s="18">
        <v>0</v>
      </c>
      <c r="F795" s="18">
        <v>0</v>
      </c>
      <c r="G795" s="18">
        <v>0</v>
      </c>
      <c r="H795" s="18">
        <v>3</v>
      </c>
      <c r="I795" s="18">
        <v>0</v>
      </c>
      <c r="J795" s="18">
        <v>8</v>
      </c>
      <c r="K795" s="18">
        <v>2</v>
      </c>
      <c r="T795" s="3">
        <v>13</v>
      </c>
      <c r="U795" s="3">
        <v>14</v>
      </c>
      <c r="V795" s="3">
        <v>1</v>
      </c>
      <c r="X795" s="2" t="s">
        <v>1548</v>
      </c>
      <c r="Y795" s="18">
        <v>2</v>
      </c>
      <c r="Z795" s="18">
        <v>0</v>
      </c>
      <c r="AA795" s="18">
        <v>0</v>
      </c>
      <c r="AB795" s="18">
        <v>3</v>
      </c>
      <c r="AC795" s="18">
        <v>0</v>
      </c>
      <c r="AD795" s="18">
        <v>0</v>
      </c>
      <c r="AE795" s="18">
        <v>0</v>
      </c>
      <c r="AN795" s="3">
        <v>5</v>
      </c>
      <c r="AO795" s="3">
        <v>9</v>
      </c>
      <c r="AP795" s="3">
        <v>3</v>
      </c>
      <c r="AR795" s="2" t="s">
        <v>1549</v>
      </c>
    </row>
    <row r="796" spans="1:44" ht="12.75" customHeight="1">
      <c r="A796" s="4">
        <f>DATE(86,6,3)</f>
        <v>31566</v>
      </c>
      <c r="B796" s="2" t="s">
        <v>239</v>
      </c>
      <c r="C796" s="2" t="s">
        <v>374</v>
      </c>
      <c r="D796" s="2" t="s">
        <v>260</v>
      </c>
      <c r="E796" s="18">
        <v>0</v>
      </c>
      <c r="F796" s="18">
        <v>0</v>
      </c>
      <c r="G796" s="18">
        <v>1</v>
      </c>
      <c r="H796" s="18">
        <v>0</v>
      </c>
      <c r="I796" s="18">
        <v>0</v>
      </c>
      <c r="J796" s="18">
        <v>0</v>
      </c>
      <c r="K796" s="18" t="s">
        <v>162</v>
      </c>
      <c r="T796" s="3">
        <v>1</v>
      </c>
      <c r="U796" s="3">
        <v>5</v>
      </c>
      <c r="V796" s="3">
        <v>0</v>
      </c>
      <c r="X796" s="2" t="s">
        <v>1498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N796" s="3">
        <v>0</v>
      </c>
      <c r="AO796" s="3">
        <v>0</v>
      </c>
      <c r="AP796" s="3">
        <v>0</v>
      </c>
      <c r="AR796" s="2" t="s">
        <v>1550</v>
      </c>
    </row>
    <row r="797" spans="1:44" ht="12.75" customHeight="1">
      <c r="A797" s="4">
        <f>DATE(86,6,5)</f>
        <v>31568</v>
      </c>
      <c r="B797" s="2" t="s">
        <v>239</v>
      </c>
      <c r="C797" s="2" t="s">
        <v>133</v>
      </c>
      <c r="D797" s="2" t="s">
        <v>260</v>
      </c>
      <c r="E797" s="18">
        <v>2</v>
      </c>
      <c r="F797" s="18">
        <v>0</v>
      </c>
      <c r="G797" s="18">
        <v>0</v>
      </c>
      <c r="H797" s="18">
        <v>0</v>
      </c>
      <c r="I797" s="18">
        <v>1</v>
      </c>
      <c r="J797" s="18">
        <v>3</v>
      </c>
      <c r="K797" s="18" t="s">
        <v>162</v>
      </c>
      <c r="T797" s="3">
        <v>6</v>
      </c>
      <c r="U797" s="3">
        <v>8</v>
      </c>
      <c r="V797" s="3">
        <v>2</v>
      </c>
      <c r="X797" s="2" t="s">
        <v>1551</v>
      </c>
      <c r="Y797" s="18">
        <v>2</v>
      </c>
      <c r="Z797" s="18">
        <v>0</v>
      </c>
      <c r="AA797" s="18">
        <v>2</v>
      </c>
      <c r="AB797" s="18">
        <v>0</v>
      </c>
      <c r="AC797" s="18">
        <v>0</v>
      </c>
      <c r="AD797" s="18">
        <v>0</v>
      </c>
      <c r="AE797" s="18">
        <v>0</v>
      </c>
      <c r="AN797" s="3">
        <v>4</v>
      </c>
      <c r="AO797" s="3">
        <v>11</v>
      </c>
      <c r="AP797" s="3">
        <v>1</v>
      </c>
      <c r="AR797" s="2" t="s">
        <v>1552</v>
      </c>
    </row>
    <row r="798" spans="1:44" ht="12.75" customHeight="1">
      <c r="A798" s="4">
        <f>DATE(86,6,12)</f>
        <v>31575</v>
      </c>
      <c r="B798" s="2" t="s">
        <v>239</v>
      </c>
      <c r="C798" s="2" t="s">
        <v>125</v>
      </c>
      <c r="D798" s="2" t="s">
        <v>260</v>
      </c>
      <c r="E798" s="18">
        <v>2</v>
      </c>
      <c r="F798" s="18">
        <v>0</v>
      </c>
      <c r="G798" s="18">
        <v>1</v>
      </c>
      <c r="H798" s="18">
        <v>0</v>
      </c>
      <c r="I798" s="18">
        <v>4</v>
      </c>
      <c r="J798" s="18">
        <v>1</v>
      </c>
      <c r="K798" s="18">
        <v>0</v>
      </c>
      <c r="T798" s="3">
        <v>8</v>
      </c>
      <c r="U798" s="3">
        <v>10</v>
      </c>
      <c r="V798" s="3">
        <v>4</v>
      </c>
      <c r="X798" s="2" t="s">
        <v>1516</v>
      </c>
      <c r="Y798" s="18">
        <v>2</v>
      </c>
      <c r="Z798" s="18">
        <v>3</v>
      </c>
      <c r="AA798" s="18">
        <v>2</v>
      </c>
      <c r="AB798" s="18">
        <v>0</v>
      </c>
      <c r="AC798" s="18">
        <v>0</v>
      </c>
      <c r="AD798" s="18">
        <v>3</v>
      </c>
      <c r="AE798" s="18" t="s">
        <v>162</v>
      </c>
      <c r="AN798" s="3">
        <v>10</v>
      </c>
      <c r="AO798" s="3">
        <v>7</v>
      </c>
      <c r="AP798" s="3">
        <v>5</v>
      </c>
      <c r="AR798" s="2" t="s">
        <v>1553</v>
      </c>
    </row>
    <row r="799" spans="1:44" ht="12.75" customHeight="1">
      <c r="A799" s="4">
        <f>DATE(86,6,13)</f>
        <v>31576</v>
      </c>
      <c r="B799" s="2" t="s">
        <v>239</v>
      </c>
      <c r="C799" s="2" t="s">
        <v>390</v>
      </c>
      <c r="D799" s="2" t="s">
        <v>260</v>
      </c>
      <c r="E799" s="18">
        <v>0</v>
      </c>
      <c r="F799" s="18">
        <v>0</v>
      </c>
      <c r="G799" s="18">
        <v>1</v>
      </c>
      <c r="H799" s="18">
        <v>0</v>
      </c>
      <c r="I799" s="18">
        <v>0</v>
      </c>
      <c r="J799" s="18">
        <v>0</v>
      </c>
      <c r="K799" s="18">
        <v>1</v>
      </c>
      <c r="T799" s="3">
        <v>2</v>
      </c>
      <c r="U799" s="3">
        <v>9</v>
      </c>
      <c r="V799" s="3">
        <v>4</v>
      </c>
      <c r="X799" s="2" t="s">
        <v>1548</v>
      </c>
      <c r="Y799" s="18">
        <v>0</v>
      </c>
      <c r="Z799" s="18">
        <v>2</v>
      </c>
      <c r="AA799" s="18">
        <v>0</v>
      </c>
      <c r="AB799" s="18">
        <v>1</v>
      </c>
      <c r="AC799" s="18">
        <v>0</v>
      </c>
      <c r="AD799" s="18">
        <v>7</v>
      </c>
      <c r="AE799" s="18" t="s">
        <v>162</v>
      </c>
      <c r="AN799" s="3">
        <v>10</v>
      </c>
      <c r="AO799" s="3">
        <v>9</v>
      </c>
      <c r="AP799" s="3">
        <v>0</v>
      </c>
      <c r="AR799" s="2" t="s">
        <v>1554</v>
      </c>
    </row>
    <row r="800" ht="12.75" customHeight="1">
      <c r="A800" s="4"/>
    </row>
    <row r="801" spans="1:45" ht="12.75" customHeight="1">
      <c r="A801" s="4">
        <f>DATE(87,3,26)</f>
        <v>31862</v>
      </c>
      <c r="B801" s="2" t="s">
        <v>152</v>
      </c>
      <c r="C801" s="2" t="s">
        <v>1555</v>
      </c>
      <c r="E801" s="18">
        <v>1</v>
      </c>
      <c r="F801" s="18">
        <v>3</v>
      </c>
      <c r="G801" s="18">
        <v>0</v>
      </c>
      <c r="H801" s="18">
        <v>2</v>
      </c>
      <c r="I801" s="18">
        <v>0</v>
      </c>
      <c r="J801" s="18">
        <v>1</v>
      </c>
      <c r="K801" s="18">
        <v>0</v>
      </c>
      <c r="T801" s="3">
        <v>7</v>
      </c>
      <c r="U801" s="3">
        <v>7</v>
      </c>
      <c r="V801" s="3">
        <v>4</v>
      </c>
      <c r="X801" s="2" t="s">
        <v>1556</v>
      </c>
      <c r="Y801" s="18">
        <v>0</v>
      </c>
      <c r="Z801" s="18">
        <v>1</v>
      </c>
      <c r="AA801" s="18">
        <v>1</v>
      </c>
      <c r="AB801" s="18">
        <v>0</v>
      </c>
      <c r="AC801" s="18">
        <v>0</v>
      </c>
      <c r="AD801" s="18">
        <v>0</v>
      </c>
      <c r="AE801" s="18">
        <v>0</v>
      </c>
      <c r="AN801" s="3">
        <v>2</v>
      </c>
      <c r="AO801" s="3">
        <v>6</v>
      </c>
      <c r="AP801" s="3">
        <v>0</v>
      </c>
      <c r="AR801" s="2" t="s">
        <v>1558</v>
      </c>
      <c r="AS801" s="2" t="s">
        <v>1040</v>
      </c>
    </row>
    <row r="802" spans="1:46" ht="12.75" customHeight="1">
      <c r="A802" s="4">
        <f>DATE(87,3,27)</f>
        <v>31863</v>
      </c>
      <c r="B802" s="2" t="s">
        <v>152</v>
      </c>
      <c r="C802" s="2" t="s">
        <v>1442</v>
      </c>
      <c r="E802" s="18">
        <v>0</v>
      </c>
      <c r="F802" s="18">
        <v>2</v>
      </c>
      <c r="G802" s="18">
        <v>4</v>
      </c>
      <c r="H802" s="18">
        <v>1</v>
      </c>
      <c r="I802" s="18">
        <v>4</v>
      </c>
      <c r="J802" s="18">
        <v>0</v>
      </c>
      <c r="K802" s="18">
        <v>0</v>
      </c>
      <c r="T802" s="3">
        <v>11</v>
      </c>
      <c r="U802" s="3">
        <v>11</v>
      </c>
      <c r="V802" s="3">
        <v>0</v>
      </c>
      <c r="X802" s="2" t="s">
        <v>1559</v>
      </c>
      <c r="Y802" s="18">
        <v>0</v>
      </c>
      <c r="Z802" s="18">
        <v>0</v>
      </c>
      <c r="AA802" s="18">
        <v>1</v>
      </c>
      <c r="AB802" s="18">
        <v>3</v>
      </c>
      <c r="AC802" s="18">
        <v>0</v>
      </c>
      <c r="AD802" s="18">
        <v>0</v>
      </c>
      <c r="AE802" s="18">
        <v>1</v>
      </c>
      <c r="AN802" s="3">
        <v>5</v>
      </c>
      <c r="AO802" s="3">
        <v>9</v>
      </c>
      <c r="AP802" s="3">
        <v>6</v>
      </c>
      <c r="AR802" s="2" t="s">
        <v>1560</v>
      </c>
      <c r="AS802" s="2" t="s">
        <v>166</v>
      </c>
      <c r="AT802" s="2" t="s">
        <v>323</v>
      </c>
    </row>
    <row r="803" spans="1:45" ht="12.75" customHeight="1">
      <c r="A803" s="4">
        <f>DATE(87,4,8)</f>
        <v>31875</v>
      </c>
      <c r="C803" s="2" t="s">
        <v>379</v>
      </c>
      <c r="E803" s="18">
        <v>6</v>
      </c>
      <c r="F803" s="18">
        <v>1</v>
      </c>
      <c r="G803" s="18">
        <v>2</v>
      </c>
      <c r="H803" s="18">
        <v>0</v>
      </c>
      <c r="I803" s="18">
        <v>2</v>
      </c>
      <c r="T803" s="3">
        <v>11</v>
      </c>
      <c r="U803" s="3">
        <v>8</v>
      </c>
      <c r="V803" s="3">
        <v>0</v>
      </c>
      <c r="X803" s="2" t="s">
        <v>1561</v>
      </c>
      <c r="Y803" s="18">
        <v>1</v>
      </c>
      <c r="Z803" s="18">
        <v>0</v>
      </c>
      <c r="AA803" s="18">
        <v>0</v>
      </c>
      <c r="AB803" s="18">
        <v>0</v>
      </c>
      <c r="AC803" s="18">
        <v>0</v>
      </c>
      <c r="AN803" s="3">
        <v>1</v>
      </c>
      <c r="AO803" s="3">
        <v>5</v>
      </c>
      <c r="AP803" s="3">
        <v>3</v>
      </c>
      <c r="AR803" s="2" t="s">
        <v>1562</v>
      </c>
      <c r="AS803" s="2" t="s">
        <v>1102</v>
      </c>
    </row>
    <row r="804" spans="1:44" ht="12.75" customHeight="1">
      <c r="A804" s="4">
        <f>DATE(87,4,9)</f>
        <v>31876</v>
      </c>
      <c r="B804" s="2" t="s">
        <v>152</v>
      </c>
      <c r="C804" s="2" t="s">
        <v>374</v>
      </c>
      <c r="E804" s="18">
        <v>0</v>
      </c>
      <c r="F804" s="18">
        <v>0</v>
      </c>
      <c r="G804" s="18">
        <v>0</v>
      </c>
      <c r="H804" s="18">
        <v>3</v>
      </c>
      <c r="I804" s="18">
        <v>0</v>
      </c>
      <c r="J804" s="18">
        <v>0</v>
      </c>
      <c r="K804" s="18">
        <v>2</v>
      </c>
      <c r="T804" s="3">
        <v>5</v>
      </c>
      <c r="U804" s="3">
        <v>7</v>
      </c>
      <c r="V804" s="3">
        <v>0</v>
      </c>
      <c r="X804" s="2" t="s">
        <v>1563</v>
      </c>
      <c r="Y804" s="18">
        <v>0</v>
      </c>
      <c r="Z804" s="18">
        <v>1</v>
      </c>
      <c r="AA804" s="18">
        <v>0</v>
      </c>
      <c r="AB804" s="18">
        <v>0</v>
      </c>
      <c r="AC804" s="18">
        <v>2</v>
      </c>
      <c r="AD804" s="18">
        <v>0</v>
      </c>
      <c r="AE804" s="18">
        <v>0</v>
      </c>
      <c r="AN804" s="3">
        <v>3</v>
      </c>
      <c r="AO804" s="3">
        <v>8</v>
      </c>
      <c r="AP804" s="3">
        <v>1</v>
      </c>
      <c r="AR804" s="2" t="s">
        <v>1564</v>
      </c>
    </row>
    <row r="805" spans="1:44" ht="12.75" customHeight="1">
      <c r="A805" s="4">
        <f>DATE(87,4,10)</f>
        <v>31877</v>
      </c>
      <c r="B805" s="2" t="s">
        <v>237</v>
      </c>
      <c r="C805" s="2" t="s">
        <v>388</v>
      </c>
      <c r="E805" s="18">
        <v>0</v>
      </c>
      <c r="F805" s="18">
        <v>4</v>
      </c>
      <c r="G805" s="18">
        <v>0</v>
      </c>
      <c r="H805" s="18">
        <v>5</v>
      </c>
      <c r="I805" s="18">
        <v>0</v>
      </c>
      <c r="J805" s="18">
        <v>0</v>
      </c>
      <c r="K805" s="18">
        <v>3</v>
      </c>
      <c r="T805" s="3">
        <v>12</v>
      </c>
      <c r="U805" s="3">
        <v>11</v>
      </c>
      <c r="V805" s="3">
        <v>3</v>
      </c>
      <c r="X805" s="2" t="s">
        <v>1559</v>
      </c>
      <c r="Y805" s="18">
        <v>1</v>
      </c>
      <c r="Z805" s="18">
        <v>0</v>
      </c>
      <c r="AA805" s="18">
        <v>3</v>
      </c>
      <c r="AB805" s="18">
        <v>0</v>
      </c>
      <c r="AC805" s="18">
        <v>0</v>
      </c>
      <c r="AD805" s="18">
        <v>0</v>
      </c>
      <c r="AE805" s="18">
        <v>0</v>
      </c>
      <c r="AN805" s="3">
        <v>4</v>
      </c>
      <c r="AO805" s="3">
        <v>10</v>
      </c>
      <c r="AP805" s="3">
        <v>3</v>
      </c>
      <c r="AR805" s="2" t="s">
        <v>1565</v>
      </c>
    </row>
    <row r="806" spans="1:44" ht="12.75" customHeight="1">
      <c r="A806" s="4">
        <f>DATE(87,4,11)</f>
        <v>31878</v>
      </c>
      <c r="B806" s="2" t="s">
        <v>237</v>
      </c>
      <c r="C806" s="2" t="s">
        <v>391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2</v>
      </c>
      <c r="K806" s="18">
        <v>0</v>
      </c>
      <c r="T806" s="3">
        <v>2</v>
      </c>
      <c r="U806" s="3">
        <v>8</v>
      </c>
      <c r="V806" s="3">
        <v>1</v>
      </c>
      <c r="X806" s="2" t="s">
        <v>1566</v>
      </c>
      <c r="Y806" s="18">
        <v>3</v>
      </c>
      <c r="Z806" s="18">
        <v>0</v>
      </c>
      <c r="AA806" s="18">
        <v>0</v>
      </c>
      <c r="AB806" s="18">
        <v>0</v>
      </c>
      <c r="AC806" s="18">
        <v>1</v>
      </c>
      <c r="AD806" s="18">
        <v>0</v>
      </c>
      <c r="AE806" s="18" t="s">
        <v>162</v>
      </c>
      <c r="AN806" s="3">
        <v>4</v>
      </c>
      <c r="AO806" s="3">
        <v>6</v>
      </c>
      <c r="AP806" s="3">
        <v>1</v>
      </c>
      <c r="AR806" s="2" t="s">
        <v>1567</v>
      </c>
    </row>
    <row r="807" spans="1:44" ht="12.75" customHeight="1">
      <c r="A807" s="4">
        <f>DATE(87,4,15)</f>
        <v>31882</v>
      </c>
      <c r="B807" s="2" t="s">
        <v>152</v>
      </c>
      <c r="C807" s="2" t="s">
        <v>236</v>
      </c>
      <c r="E807" s="18">
        <v>1</v>
      </c>
      <c r="F807" s="18">
        <v>0</v>
      </c>
      <c r="G807" s="18">
        <v>0</v>
      </c>
      <c r="H807" s="18">
        <v>1</v>
      </c>
      <c r="I807" s="18">
        <v>1</v>
      </c>
      <c r="J807" s="18">
        <v>0</v>
      </c>
      <c r="K807" s="18">
        <v>0</v>
      </c>
      <c r="T807" s="3">
        <v>3</v>
      </c>
      <c r="U807" s="3">
        <v>5</v>
      </c>
      <c r="V807" s="3">
        <v>2</v>
      </c>
      <c r="X807" s="2" t="s">
        <v>1568</v>
      </c>
      <c r="Y807" s="18">
        <v>0</v>
      </c>
      <c r="Z807" s="18">
        <v>2</v>
      </c>
      <c r="AA807" s="18">
        <v>0</v>
      </c>
      <c r="AB807" s="18">
        <v>0</v>
      </c>
      <c r="AC807" s="18">
        <v>0</v>
      </c>
      <c r="AD807" s="18">
        <v>1</v>
      </c>
      <c r="AE807" s="18">
        <v>2</v>
      </c>
      <c r="AN807" s="3">
        <v>5</v>
      </c>
      <c r="AO807" s="3">
        <v>6</v>
      </c>
      <c r="AP807" s="3">
        <v>2</v>
      </c>
      <c r="AR807" s="2" t="s">
        <v>1569</v>
      </c>
    </row>
    <row r="808" spans="1:44" ht="12.75" customHeight="1">
      <c r="A808" s="4">
        <f>DATE(87,4,16)</f>
        <v>31883</v>
      </c>
      <c r="C808" s="2" t="s">
        <v>305</v>
      </c>
      <c r="E808" s="18">
        <v>2</v>
      </c>
      <c r="F808" s="18">
        <v>0</v>
      </c>
      <c r="G808" s="18">
        <v>1</v>
      </c>
      <c r="H808" s="18">
        <v>0</v>
      </c>
      <c r="I808" s="18">
        <v>0</v>
      </c>
      <c r="J808" s="18">
        <v>2</v>
      </c>
      <c r="K808" s="18" t="s">
        <v>162</v>
      </c>
      <c r="T808" s="3">
        <v>5</v>
      </c>
      <c r="U808" s="3">
        <v>7</v>
      </c>
      <c r="V808" s="3">
        <v>3</v>
      </c>
      <c r="X808" s="2" t="s">
        <v>1519</v>
      </c>
      <c r="Y808" s="18">
        <v>1</v>
      </c>
      <c r="Z808" s="18">
        <v>0</v>
      </c>
      <c r="AA808" s="18">
        <v>0</v>
      </c>
      <c r="AB808" s="18">
        <v>1</v>
      </c>
      <c r="AC808" s="18">
        <v>0</v>
      </c>
      <c r="AD808" s="18">
        <v>0</v>
      </c>
      <c r="AE808" s="18">
        <v>0</v>
      </c>
      <c r="AN808" s="3">
        <v>2</v>
      </c>
      <c r="AO808" s="3">
        <v>6</v>
      </c>
      <c r="AP808" s="3">
        <v>0</v>
      </c>
      <c r="AR808" s="2" t="s">
        <v>1570</v>
      </c>
    </row>
    <row r="809" spans="1:44" ht="12.75" customHeight="1">
      <c r="A809" s="4">
        <f>DATE(87,4,18)</f>
        <v>31885</v>
      </c>
      <c r="C809" s="2" t="s">
        <v>191</v>
      </c>
      <c r="E809" s="18">
        <v>1</v>
      </c>
      <c r="F809" s="18">
        <v>0</v>
      </c>
      <c r="G809" s="18">
        <v>1</v>
      </c>
      <c r="H809" s="18">
        <v>0</v>
      </c>
      <c r="I809" s="18">
        <v>2</v>
      </c>
      <c r="J809" s="18">
        <v>5</v>
      </c>
      <c r="K809" s="18">
        <v>0</v>
      </c>
      <c r="L809" s="18">
        <v>1</v>
      </c>
      <c r="T809" s="3">
        <v>10</v>
      </c>
      <c r="U809" s="3">
        <v>11</v>
      </c>
      <c r="V809" s="3">
        <v>1</v>
      </c>
      <c r="X809" s="2" t="s">
        <v>1571</v>
      </c>
      <c r="Y809" s="18">
        <v>0</v>
      </c>
      <c r="Z809" s="18">
        <v>1</v>
      </c>
      <c r="AA809" s="18">
        <v>4</v>
      </c>
      <c r="AB809" s="18">
        <v>0</v>
      </c>
      <c r="AC809" s="18">
        <v>0</v>
      </c>
      <c r="AD809" s="18">
        <v>1</v>
      </c>
      <c r="AE809" s="18">
        <v>3</v>
      </c>
      <c r="AF809" s="18">
        <v>0</v>
      </c>
      <c r="AN809" s="3">
        <v>9</v>
      </c>
      <c r="AO809" s="3">
        <v>13</v>
      </c>
      <c r="AP809" s="3">
        <v>2</v>
      </c>
      <c r="AR809" s="2" t="s">
        <v>1572</v>
      </c>
    </row>
    <row r="810" spans="1:44" ht="12.75" customHeight="1">
      <c r="A810" s="4">
        <f>DATE(87,4,21)</f>
        <v>31888</v>
      </c>
      <c r="B810" s="2" t="s">
        <v>237</v>
      </c>
      <c r="C810" s="2" t="s">
        <v>175</v>
      </c>
      <c r="E810" s="18">
        <v>1</v>
      </c>
      <c r="F810" s="18">
        <v>0</v>
      </c>
      <c r="G810" s="18">
        <v>0</v>
      </c>
      <c r="H810" s="18">
        <v>1</v>
      </c>
      <c r="I810" s="18">
        <v>0</v>
      </c>
      <c r="J810" s="18">
        <v>0</v>
      </c>
      <c r="K810" s="18">
        <v>0</v>
      </c>
      <c r="L810" s="18">
        <v>0</v>
      </c>
      <c r="T810" s="3">
        <v>2</v>
      </c>
      <c r="U810" s="3">
        <v>11</v>
      </c>
      <c r="V810" s="3">
        <v>5</v>
      </c>
      <c r="X810" s="2" t="s">
        <v>1573</v>
      </c>
      <c r="Y810" s="18">
        <v>1</v>
      </c>
      <c r="Z810" s="18">
        <v>0</v>
      </c>
      <c r="AA810" s="18">
        <v>0</v>
      </c>
      <c r="AB810" s="18">
        <v>1</v>
      </c>
      <c r="AC810" s="18">
        <v>0</v>
      </c>
      <c r="AD810" s="18">
        <v>0</v>
      </c>
      <c r="AE810" s="18">
        <v>0</v>
      </c>
      <c r="AF810" s="18">
        <v>1</v>
      </c>
      <c r="AN810" s="3">
        <v>3</v>
      </c>
      <c r="AO810" s="3">
        <v>5</v>
      </c>
      <c r="AP810" s="3">
        <v>0</v>
      </c>
      <c r="AR810" s="2" t="s">
        <v>1574</v>
      </c>
    </row>
    <row r="811" spans="1:44" ht="12.75" customHeight="1">
      <c r="A811" s="4">
        <f>DATE(87,4,22)</f>
        <v>31889</v>
      </c>
      <c r="C811" s="2" t="s">
        <v>174</v>
      </c>
      <c r="E811" s="18">
        <v>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4</v>
      </c>
      <c r="T811" s="3">
        <v>4</v>
      </c>
      <c r="U811" s="3">
        <v>8</v>
      </c>
      <c r="V811" s="3">
        <v>4</v>
      </c>
      <c r="X811" s="2" t="s">
        <v>1519</v>
      </c>
      <c r="Y811" s="18">
        <v>0</v>
      </c>
      <c r="Z811" s="18">
        <v>0</v>
      </c>
      <c r="AA811" s="18">
        <v>2</v>
      </c>
      <c r="AB811" s="18">
        <v>0</v>
      </c>
      <c r="AC811" s="18">
        <v>2</v>
      </c>
      <c r="AD811" s="18">
        <v>3</v>
      </c>
      <c r="AE811" s="18">
        <v>0</v>
      </c>
      <c r="AN811" s="3">
        <v>7</v>
      </c>
      <c r="AO811" s="3">
        <v>10</v>
      </c>
      <c r="AP811" s="3">
        <v>2</v>
      </c>
      <c r="AR811" s="2" t="s">
        <v>1575</v>
      </c>
    </row>
    <row r="812" spans="1:44" ht="12.75" customHeight="1">
      <c r="A812" s="4">
        <f>DATE(87,4,23)</f>
        <v>31890</v>
      </c>
      <c r="B812" s="2" t="s">
        <v>152</v>
      </c>
      <c r="C812" s="2" t="s">
        <v>379</v>
      </c>
      <c r="E812" s="18">
        <v>1</v>
      </c>
      <c r="F812" s="18">
        <v>0</v>
      </c>
      <c r="G812" s="18">
        <v>0</v>
      </c>
      <c r="H812" s="18">
        <v>0</v>
      </c>
      <c r="I812" s="18">
        <v>4</v>
      </c>
      <c r="J812" s="18">
        <v>0</v>
      </c>
      <c r="K812" s="18">
        <v>0</v>
      </c>
      <c r="T812" s="3">
        <v>5</v>
      </c>
      <c r="U812" s="3">
        <v>5</v>
      </c>
      <c r="V812" s="3">
        <v>3</v>
      </c>
      <c r="X812" s="2" t="s">
        <v>1576</v>
      </c>
      <c r="Y812" s="18">
        <v>5</v>
      </c>
      <c r="Z812" s="18">
        <v>0</v>
      </c>
      <c r="AA812" s="18">
        <v>0</v>
      </c>
      <c r="AB812" s="18">
        <v>1</v>
      </c>
      <c r="AC812" s="18">
        <v>0</v>
      </c>
      <c r="AD812" s="18">
        <v>1</v>
      </c>
      <c r="AE812" s="18" t="s">
        <v>162</v>
      </c>
      <c r="AN812" s="3">
        <v>7</v>
      </c>
      <c r="AO812" s="3">
        <v>8</v>
      </c>
      <c r="AP812" s="3">
        <v>2</v>
      </c>
      <c r="AR812" s="2" t="s">
        <v>2386</v>
      </c>
    </row>
    <row r="813" spans="1:44" ht="12.75" customHeight="1">
      <c r="A813" s="4">
        <f>DATE(87,4,28)</f>
        <v>31895</v>
      </c>
      <c r="C813" s="2" t="s">
        <v>388</v>
      </c>
      <c r="E813" s="18">
        <v>2</v>
      </c>
      <c r="F813" s="18">
        <v>0</v>
      </c>
      <c r="G813" s="18">
        <v>5</v>
      </c>
      <c r="H813" s="18">
        <v>4</v>
      </c>
      <c r="I813" s="18" t="s">
        <v>162</v>
      </c>
      <c r="T813" s="3">
        <v>11</v>
      </c>
      <c r="U813" s="3">
        <v>15</v>
      </c>
      <c r="V813" s="3">
        <v>2</v>
      </c>
      <c r="X813" s="2" t="s">
        <v>1561</v>
      </c>
      <c r="Y813" s="18">
        <v>0</v>
      </c>
      <c r="Z813" s="18">
        <v>0</v>
      </c>
      <c r="AA813" s="18">
        <v>0</v>
      </c>
      <c r="AB813" s="18">
        <v>1</v>
      </c>
      <c r="AC813" s="18">
        <v>0</v>
      </c>
      <c r="AN813" s="3">
        <v>1</v>
      </c>
      <c r="AO813" s="3">
        <v>3</v>
      </c>
      <c r="AP813" s="3">
        <v>1</v>
      </c>
      <c r="AR813" s="2" t="s">
        <v>1577</v>
      </c>
    </row>
    <row r="814" spans="1:44" ht="12.75" customHeight="1">
      <c r="A814" s="4">
        <f>DATE(87,4,30)</f>
        <v>31897</v>
      </c>
      <c r="B814" s="2" t="s">
        <v>152</v>
      </c>
      <c r="C814" s="2" t="s">
        <v>174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T814" s="3">
        <v>0</v>
      </c>
      <c r="U814" s="3">
        <v>3</v>
      </c>
      <c r="V814" s="3">
        <v>1</v>
      </c>
      <c r="X814" s="2" t="s">
        <v>1578</v>
      </c>
      <c r="Y814" s="18">
        <v>3</v>
      </c>
      <c r="Z814" s="18">
        <v>2</v>
      </c>
      <c r="AA814" s="18">
        <v>0</v>
      </c>
      <c r="AB814" s="18">
        <v>3</v>
      </c>
      <c r="AC814" s="18">
        <v>2</v>
      </c>
      <c r="AN814" s="3">
        <v>10</v>
      </c>
      <c r="AO814" s="3">
        <v>9</v>
      </c>
      <c r="AP814" s="3">
        <v>0</v>
      </c>
      <c r="AR814" s="2" t="s">
        <v>1579</v>
      </c>
    </row>
    <row r="815" spans="1:44" ht="12.75" customHeight="1">
      <c r="A815" s="4">
        <f>DATE(87,5,2)</f>
        <v>31899</v>
      </c>
      <c r="B815" s="2" t="s">
        <v>152</v>
      </c>
      <c r="C815" s="2" t="s">
        <v>183</v>
      </c>
      <c r="E815" s="18">
        <v>1</v>
      </c>
      <c r="F815" s="18">
        <v>0</v>
      </c>
      <c r="G815" s="18">
        <v>7</v>
      </c>
      <c r="H815" s="18">
        <v>0</v>
      </c>
      <c r="I815" s="18">
        <v>0</v>
      </c>
      <c r="J815" s="18">
        <v>1</v>
      </c>
      <c r="K815" s="18">
        <v>0</v>
      </c>
      <c r="T815" s="3">
        <v>9</v>
      </c>
      <c r="U815" s="3">
        <v>13</v>
      </c>
      <c r="V815" s="3">
        <v>0</v>
      </c>
      <c r="X815" s="2" t="s">
        <v>1556</v>
      </c>
      <c r="Y815" s="18">
        <v>0</v>
      </c>
      <c r="Z815" s="18">
        <v>0</v>
      </c>
      <c r="AA815" s="18">
        <v>0</v>
      </c>
      <c r="AB815" s="18">
        <v>0</v>
      </c>
      <c r="AC815" s="18">
        <v>1</v>
      </c>
      <c r="AD815" s="18">
        <v>0</v>
      </c>
      <c r="AE815" s="18">
        <v>0</v>
      </c>
      <c r="AN815" s="3">
        <v>1</v>
      </c>
      <c r="AO815" s="3">
        <v>7</v>
      </c>
      <c r="AP815" s="3">
        <v>3</v>
      </c>
      <c r="AR815" s="2" t="s">
        <v>1580</v>
      </c>
    </row>
    <row r="816" spans="1:44" ht="12.75" customHeight="1">
      <c r="A816" s="4">
        <f>DATE(87,5,5)</f>
        <v>31902</v>
      </c>
      <c r="C816" s="2" t="s">
        <v>374</v>
      </c>
      <c r="E816" s="18">
        <v>0</v>
      </c>
      <c r="F816" s="18">
        <v>0</v>
      </c>
      <c r="G816" s="18">
        <v>2</v>
      </c>
      <c r="H816" s="18">
        <v>1</v>
      </c>
      <c r="I816" s="18">
        <v>4</v>
      </c>
      <c r="J816" s="18">
        <v>1</v>
      </c>
      <c r="K816" s="18" t="s">
        <v>162</v>
      </c>
      <c r="T816" s="3">
        <v>8</v>
      </c>
      <c r="U816" s="3">
        <v>10</v>
      </c>
      <c r="V816" s="3">
        <v>1</v>
      </c>
      <c r="X816" s="2" t="s">
        <v>1556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  <c r="AE816" s="18">
        <v>3</v>
      </c>
      <c r="AN816" s="3">
        <v>3</v>
      </c>
      <c r="AO816" s="3">
        <v>8</v>
      </c>
      <c r="AP816" s="3">
        <v>4</v>
      </c>
      <c r="AR816" s="2" t="s">
        <v>1564</v>
      </c>
    </row>
    <row r="817" spans="1:44" ht="12.75" customHeight="1">
      <c r="A817" s="4">
        <f>DATE(87,5,7)</f>
        <v>31904</v>
      </c>
      <c r="C817" s="2" t="s">
        <v>236</v>
      </c>
      <c r="E817" s="18">
        <v>5</v>
      </c>
      <c r="F817" s="18">
        <v>3</v>
      </c>
      <c r="G817" s="18">
        <v>0</v>
      </c>
      <c r="H817" s="18">
        <v>2</v>
      </c>
      <c r="I817" s="18">
        <v>4</v>
      </c>
      <c r="J817" s="18">
        <v>0</v>
      </c>
      <c r="K817" s="18" t="s">
        <v>162</v>
      </c>
      <c r="T817" s="3">
        <v>14</v>
      </c>
      <c r="U817" s="3">
        <v>13</v>
      </c>
      <c r="V817" s="3">
        <v>1</v>
      </c>
      <c r="X817" s="2" t="s">
        <v>1581</v>
      </c>
      <c r="Y817" s="18">
        <v>6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N817" s="3">
        <v>6</v>
      </c>
      <c r="AO817" s="3">
        <v>9</v>
      </c>
      <c r="AP817" s="3">
        <v>2</v>
      </c>
      <c r="AR817" s="2" t="s">
        <v>1582</v>
      </c>
    </row>
    <row r="818" spans="1:44" ht="12.75" customHeight="1">
      <c r="A818" s="4">
        <f>DATE(87,5,11)</f>
        <v>31908</v>
      </c>
      <c r="C818" s="2" t="s">
        <v>367</v>
      </c>
      <c r="E818" s="18">
        <v>0</v>
      </c>
      <c r="F818" s="18">
        <v>2</v>
      </c>
      <c r="G818" s="18">
        <v>5</v>
      </c>
      <c r="H818" s="18">
        <v>0</v>
      </c>
      <c r="I818" s="18">
        <v>2</v>
      </c>
      <c r="J818" s="18">
        <v>0</v>
      </c>
      <c r="K818" s="18" t="s">
        <v>162</v>
      </c>
      <c r="T818" s="3">
        <v>9</v>
      </c>
      <c r="U818" s="3">
        <v>15</v>
      </c>
      <c r="V818" s="3">
        <v>0</v>
      </c>
      <c r="X818" s="2" t="s">
        <v>1556</v>
      </c>
      <c r="Y818" s="18">
        <v>0</v>
      </c>
      <c r="Z818" s="18">
        <v>0</v>
      </c>
      <c r="AA818" s="18">
        <v>2</v>
      </c>
      <c r="AB818" s="18">
        <v>0</v>
      </c>
      <c r="AC818" s="18">
        <v>0</v>
      </c>
      <c r="AD818" s="18">
        <v>0</v>
      </c>
      <c r="AE818" s="18">
        <v>0</v>
      </c>
      <c r="AN818" s="3">
        <v>2</v>
      </c>
      <c r="AO818" s="3">
        <v>3</v>
      </c>
      <c r="AP818" s="3">
        <v>0</v>
      </c>
      <c r="AR818" s="2" t="s">
        <v>1583</v>
      </c>
    </row>
    <row r="819" spans="1:44" ht="12.75" customHeight="1">
      <c r="A819" s="4">
        <f>DATE(87,5,12)</f>
        <v>31909</v>
      </c>
      <c r="B819" s="2" t="s">
        <v>152</v>
      </c>
      <c r="C819" s="2" t="s">
        <v>305</v>
      </c>
      <c r="E819" s="18">
        <v>3</v>
      </c>
      <c r="F819" s="18">
        <v>3</v>
      </c>
      <c r="G819" s="18">
        <v>0</v>
      </c>
      <c r="H819" s="18">
        <v>5</v>
      </c>
      <c r="I819" s="18">
        <v>0</v>
      </c>
      <c r="J819" s="18">
        <v>0</v>
      </c>
      <c r="K819" s="18">
        <v>1</v>
      </c>
      <c r="T819" s="3">
        <v>12</v>
      </c>
      <c r="U819" s="3">
        <v>15</v>
      </c>
      <c r="V819" s="3">
        <v>3</v>
      </c>
      <c r="X819" s="2" t="s">
        <v>1584</v>
      </c>
      <c r="Y819" s="18">
        <v>0</v>
      </c>
      <c r="Z819" s="18">
        <v>4</v>
      </c>
      <c r="AA819" s="18">
        <v>0</v>
      </c>
      <c r="AB819" s="18">
        <v>3</v>
      </c>
      <c r="AC819" s="18">
        <v>1</v>
      </c>
      <c r="AD819" s="18">
        <v>1</v>
      </c>
      <c r="AE819" s="18">
        <v>2</v>
      </c>
      <c r="AN819" s="3">
        <v>11</v>
      </c>
      <c r="AO819" s="3">
        <v>15</v>
      </c>
      <c r="AP819" s="3">
        <v>1</v>
      </c>
      <c r="AR819" s="2" t="s">
        <v>1485</v>
      </c>
    </row>
    <row r="820" spans="1:44" ht="12.75" customHeight="1">
      <c r="A820" s="4">
        <f>DATE(87,5,14)</f>
        <v>31911</v>
      </c>
      <c r="C820" s="2" t="s">
        <v>175</v>
      </c>
      <c r="E820" s="18">
        <v>0</v>
      </c>
      <c r="F820" s="18">
        <v>0</v>
      </c>
      <c r="G820" s="18">
        <v>1</v>
      </c>
      <c r="H820" s="18">
        <v>0</v>
      </c>
      <c r="I820" s="18">
        <v>0</v>
      </c>
      <c r="J820" s="18">
        <v>0</v>
      </c>
      <c r="K820" s="18">
        <v>1</v>
      </c>
      <c r="T820" s="3">
        <v>2</v>
      </c>
      <c r="U820" s="3">
        <v>6</v>
      </c>
      <c r="V820" s="3">
        <v>6</v>
      </c>
      <c r="X820" s="2" t="s">
        <v>1585</v>
      </c>
      <c r="Y820" s="18">
        <v>0</v>
      </c>
      <c r="Z820" s="18">
        <v>0</v>
      </c>
      <c r="AA820" s="18">
        <v>3</v>
      </c>
      <c r="AB820" s="18">
        <v>2</v>
      </c>
      <c r="AC820" s="18">
        <v>0</v>
      </c>
      <c r="AD820" s="18">
        <v>1</v>
      </c>
      <c r="AE820" s="18">
        <v>3</v>
      </c>
      <c r="AN820" s="3">
        <v>9</v>
      </c>
      <c r="AO820" s="3">
        <v>9</v>
      </c>
      <c r="AP820" s="3">
        <v>1</v>
      </c>
      <c r="AR820" s="2" t="s">
        <v>1586</v>
      </c>
    </row>
    <row r="821" spans="1:44" ht="12.75" customHeight="1">
      <c r="A821" s="4">
        <f>DATE(87,5,21)</f>
        <v>31918</v>
      </c>
      <c r="B821" s="2" t="s">
        <v>239</v>
      </c>
      <c r="C821" s="2" t="s">
        <v>367</v>
      </c>
      <c r="D821" s="2" t="s">
        <v>258</v>
      </c>
      <c r="E821" s="18">
        <v>0</v>
      </c>
      <c r="F821" s="18">
        <v>1</v>
      </c>
      <c r="G821" s="18">
        <v>3</v>
      </c>
      <c r="H821" s="18">
        <v>0</v>
      </c>
      <c r="I821" s="18">
        <v>0</v>
      </c>
      <c r="J821" s="18">
        <v>0</v>
      </c>
      <c r="K821" s="18">
        <v>0</v>
      </c>
      <c r="T821" s="3">
        <v>4</v>
      </c>
      <c r="U821" s="3">
        <v>6</v>
      </c>
      <c r="V821" s="3">
        <v>1</v>
      </c>
      <c r="X821" s="2" t="s">
        <v>1559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1</v>
      </c>
      <c r="AE821" s="18">
        <v>1</v>
      </c>
      <c r="AN821" s="3">
        <v>2</v>
      </c>
      <c r="AO821" s="3">
        <v>7</v>
      </c>
      <c r="AP821" s="3">
        <v>2</v>
      </c>
      <c r="AR821" s="2" t="s">
        <v>1587</v>
      </c>
    </row>
    <row r="822" spans="1:44" ht="12.75" customHeight="1">
      <c r="A822" s="4">
        <f>DATE(87,5,22)</f>
        <v>31919</v>
      </c>
      <c r="B822" s="2" t="s">
        <v>239</v>
      </c>
      <c r="C822" s="2" t="s">
        <v>191</v>
      </c>
      <c r="D822" s="2" t="s">
        <v>258</v>
      </c>
      <c r="E822" s="18">
        <v>0</v>
      </c>
      <c r="F822" s="18">
        <v>0</v>
      </c>
      <c r="G822" s="18">
        <v>0</v>
      </c>
      <c r="H822" s="18">
        <v>4</v>
      </c>
      <c r="I822" s="18">
        <v>0</v>
      </c>
      <c r="J822" s="18">
        <v>1</v>
      </c>
      <c r="K822" s="18">
        <v>1</v>
      </c>
      <c r="T822" s="3">
        <v>6</v>
      </c>
      <c r="U822" s="3">
        <v>11</v>
      </c>
      <c r="V822" s="3">
        <v>4</v>
      </c>
      <c r="X822" s="2" t="s">
        <v>1556</v>
      </c>
      <c r="Y822" s="18">
        <v>3</v>
      </c>
      <c r="Z822" s="18">
        <v>2</v>
      </c>
      <c r="AA822" s="18">
        <v>0</v>
      </c>
      <c r="AB822" s="18">
        <v>0</v>
      </c>
      <c r="AC822" s="18">
        <v>0</v>
      </c>
      <c r="AD822" s="18">
        <v>0</v>
      </c>
      <c r="AE822" s="18">
        <v>0</v>
      </c>
      <c r="AN822" s="3">
        <v>5</v>
      </c>
      <c r="AO822" s="3">
        <v>7</v>
      </c>
      <c r="AP822" s="3">
        <v>4</v>
      </c>
      <c r="AR822" s="2" t="s">
        <v>1588</v>
      </c>
    </row>
    <row r="823" spans="1:44" ht="12.75" customHeight="1">
      <c r="A823" s="4">
        <f>DATE(87,6,2)</f>
        <v>31930</v>
      </c>
      <c r="B823" s="2" t="s">
        <v>239</v>
      </c>
      <c r="C823" s="2" t="s">
        <v>126</v>
      </c>
      <c r="D823" s="2" t="s">
        <v>260</v>
      </c>
      <c r="E823" s="18">
        <v>0</v>
      </c>
      <c r="F823" s="18">
        <v>0</v>
      </c>
      <c r="G823" s="18">
        <v>0</v>
      </c>
      <c r="H823" s="18">
        <v>5</v>
      </c>
      <c r="I823" s="18">
        <v>4</v>
      </c>
      <c r="J823" s="18" t="s">
        <v>162</v>
      </c>
      <c r="T823" s="3">
        <v>9</v>
      </c>
      <c r="U823" s="3">
        <v>9</v>
      </c>
      <c r="V823" s="3">
        <v>1</v>
      </c>
      <c r="X823" s="2" t="s">
        <v>1589</v>
      </c>
      <c r="Y823" s="18">
        <v>0</v>
      </c>
      <c r="Z823" s="18">
        <v>0</v>
      </c>
      <c r="AA823" s="18">
        <v>0</v>
      </c>
      <c r="AB823" s="18">
        <v>0</v>
      </c>
      <c r="AC823" s="18">
        <v>1</v>
      </c>
      <c r="AD823" s="18">
        <v>0</v>
      </c>
      <c r="AN823" s="3">
        <v>1</v>
      </c>
      <c r="AO823" s="3">
        <v>3</v>
      </c>
      <c r="AP823" s="3">
        <v>3</v>
      </c>
      <c r="AR823" s="2" t="s">
        <v>1590</v>
      </c>
    </row>
    <row r="824" spans="1:44" ht="12.75" customHeight="1">
      <c r="A824" s="4">
        <f>DATE(87,6,4)</f>
        <v>31932</v>
      </c>
      <c r="B824" s="2" t="s">
        <v>239</v>
      </c>
      <c r="C824" s="2" t="s">
        <v>1591</v>
      </c>
      <c r="D824" s="2" t="s">
        <v>260</v>
      </c>
      <c r="E824" s="18">
        <v>3</v>
      </c>
      <c r="F824" s="18">
        <v>1</v>
      </c>
      <c r="G824" s="18">
        <v>3</v>
      </c>
      <c r="H824" s="18">
        <v>0</v>
      </c>
      <c r="I824" s="18">
        <v>0</v>
      </c>
      <c r="J824" s="18">
        <v>0</v>
      </c>
      <c r="K824" s="18">
        <v>0</v>
      </c>
      <c r="L824" s="18">
        <v>3</v>
      </c>
      <c r="T824" s="3">
        <v>10</v>
      </c>
      <c r="U824" s="3">
        <v>17</v>
      </c>
      <c r="V824" s="3">
        <v>6</v>
      </c>
      <c r="X824" s="2" t="s">
        <v>1592</v>
      </c>
      <c r="Y824" s="18">
        <v>1</v>
      </c>
      <c r="Z824" s="18">
        <v>0</v>
      </c>
      <c r="AA824" s="18">
        <v>2</v>
      </c>
      <c r="AB824" s="18">
        <v>2</v>
      </c>
      <c r="AC824" s="18">
        <v>1</v>
      </c>
      <c r="AD824" s="18">
        <v>0</v>
      </c>
      <c r="AE824" s="18">
        <v>1</v>
      </c>
      <c r="AF824" s="18">
        <v>4</v>
      </c>
      <c r="AN824" s="3">
        <v>11</v>
      </c>
      <c r="AO824" s="3">
        <v>13</v>
      </c>
      <c r="AP824" s="3">
        <v>1</v>
      </c>
      <c r="AR824" s="2" t="s">
        <v>1593</v>
      </c>
    </row>
    <row r="825" ht="12.75" customHeight="1">
      <c r="A825" s="4"/>
    </row>
    <row r="826" spans="1:45" ht="12.75" customHeight="1">
      <c r="A826" s="4">
        <f>DATE(88,3,31)</f>
        <v>32233</v>
      </c>
      <c r="B826" s="2" t="s">
        <v>152</v>
      </c>
      <c r="C826" s="2" t="s">
        <v>1594</v>
      </c>
      <c r="E826" s="18">
        <v>3</v>
      </c>
      <c r="F826" s="18">
        <v>3</v>
      </c>
      <c r="G826" s="18">
        <v>0</v>
      </c>
      <c r="H826" s="18">
        <v>3</v>
      </c>
      <c r="I826" s="18">
        <v>0</v>
      </c>
      <c r="J826" s="18">
        <v>2</v>
      </c>
      <c r="K826" s="18">
        <v>1</v>
      </c>
      <c r="T826" s="3">
        <v>12</v>
      </c>
      <c r="U826" s="3">
        <v>13</v>
      </c>
      <c r="V826" s="3">
        <v>2</v>
      </c>
      <c r="X826" s="2" t="s">
        <v>1595</v>
      </c>
      <c r="Y826" s="18">
        <v>1</v>
      </c>
      <c r="Z826" s="18">
        <v>0</v>
      </c>
      <c r="AA826" s="18">
        <v>0</v>
      </c>
      <c r="AB826" s="18">
        <v>1</v>
      </c>
      <c r="AC826" s="18">
        <v>1</v>
      </c>
      <c r="AD826" s="18">
        <v>3</v>
      </c>
      <c r="AE826" s="18">
        <v>0</v>
      </c>
      <c r="AN826" s="3">
        <v>6</v>
      </c>
      <c r="AO826" s="3">
        <v>6</v>
      </c>
      <c r="AP826" s="3">
        <v>6</v>
      </c>
      <c r="AR826" s="2" t="s">
        <v>1596</v>
      </c>
      <c r="AS826" s="2" t="s">
        <v>1040</v>
      </c>
    </row>
    <row r="827" spans="1:46" ht="12.75" customHeight="1">
      <c r="A827" s="4">
        <f>DATE(88,4,1)</f>
        <v>32234</v>
      </c>
      <c r="B827" s="2" t="s">
        <v>152</v>
      </c>
      <c r="C827" s="2" t="s">
        <v>624</v>
      </c>
      <c r="E827" s="18">
        <v>2</v>
      </c>
      <c r="F827" s="18">
        <v>0</v>
      </c>
      <c r="G827" s="18">
        <v>2</v>
      </c>
      <c r="H827" s="18">
        <v>6</v>
      </c>
      <c r="I827" s="18">
        <v>13</v>
      </c>
      <c r="T827" s="3">
        <v>23</v>
      </c>
      <c r="U827" s="3">
        <v>18</v>
      </c>
      <c r="V827" s="3">
        <v>1</v>
      </c>
      <c r="X827" s="2" t="s">
        <v>1597</v>
      </c>
      <c r="Y827" s="18">
        <v>2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  <c r="AN827" s="3">
        <v>2</v>
      </c>
      <c r="AO827" s="3">
        <v>1</v>
      </c>
      <c r="AP827" s="3">
        <v>6</v>
      </c>
      <c r="AR827" s="2" t="s">
        <v>1598</v>
      </c>
      <c r="AS827" s="2" t="s">
        <v>176</v>
      </c>
      <c r="AT827" s="2" t="s">
        <v>323</v>
      </c>
    </row>
    <row r="828" spans="1:45" ht="12.75" customHeight="1">
      <c r="A828" s="4">
        <f>DATE(88,4,5)</f>
        <v>32238</v>
      </c>
      <c r="C828" s="2" t="s">
        <v>175</v>
      </c>
      <c r="E828" s="18">
        <v>6</v>
      </c>
      <c r="F828" s="18">
        <v>2</v>
      </c>
      <c r="G828" s="18">
        <v>2</v>
      </c>
      <c r="H828" s="18">
        <v>0</v>
      </c>
      <c r="I828" s="18">
        <v>0</v>
      </c>
      <c r="J828" s="18">
        <v>0</v>
      </c>
      <c r="K828" s="18" t="s">
        <v>162</v>
      </c>
      <c r="T828" s="3">
        <v>10</v>
      </c>
      <c r="U828" s="3">
        <v>12</v>
      </c>
      <c r="V828" s="3">
        <v>2</v>
      </c>
      <c r="X828" s="2" t="s">
        <v>1599</v>
      </c>
      <c r="Y828" s="18">
        <v>0</v>
      </c>
      <c r="Z828" s="18">
        <v>1</v>
      </c>
      <c r="AA828" s="18">
        <v>0</v>
      </c>
      <c r="AB828" s="18">
        <v>8</v>
      </c>
      <c r="AC828" s="18">
        <v>0</v>
      </c>
      <c r="AD828" s="18">
        <v>0</v>
      </c>
      <c r="AE828" s="18">
        <v>0</v>
      </c>
      <c r="AN828" s="3">
        <v>9</v>
      </c>
      <c r="AO828" s="3">
        <v>8</v>
      </c>
      <c r="AP828" s="3">
        <v>1</v>
      </c>
      <c r="AR828" s="2" t="s">
        <v>1600</v>
      </c>
      <c r="AS828" s="2" t="s">
        <v>1102</v>
      </c>
    </row>
    <row r="829" spans="1:44" ht="12.75" customHeight="1">
      <c r="A829" s="4">
        <f>DATE(88,4,9)</f>
        <v>32242</v>
      </c>
      <c r="B829" s="2" t="s">
        <v>152</v>
      </c>
      <c r="C829" s="2" t="s">
        <v>367</v>
      </c>
      <c r="E829" s="18">
        <v>4</v>
      </c>
      <c r="F829" s="18">
        <v>2</v>
      </c>
      <c r="G829" s="18">
        <v>0</v>
      </c>
      <c r="H829" s="18">
        <v>0</v>
      </c>
      <c r="I829" s="18">
        <v>3</v>
      </c>
      <c r="J829" s="18">
        <v>0</v>
      </c>
      <c r="K829" s="18">
        <v>1</v>
      </c>
      <c r="T829" s="3">
        <v>10</v>
      </c>
      <c r="U829" s="3">
        <v>7</v>
      </c>
      <c r="V829" s="3">
        <v>4</v>
      </c>
      <c r="X829" s="2" t="s">
        <v>1601</v>
      </c>
      <c r="Y829" s="18">
        <v>1</v>
      </c>
      <c r="Z829" s="18">
        <v>0</v>
      </c>
      <c r="AA829" s="18">
        <v>0</v>
      </c>
      <c r="AB829" s="18">
        <v>0</v>
      </c>
      <c r="AC829" s="18">
        <v>4</v>
      </c>
      <c r="AD829" s="18">
        <v>0</v>
      </c>
      <c r="AE829" s="18">
        <v>0</v>
      </c>
      <c r="AN829" s="3">
        <v>5</v>
      </c>
      <c r="AO829" s="3">
        <v>7</v>
      </c>
      <c r="AP829" s="3">
        <v>3</v>
      </c>
      <c r="AR829" s="2" t="s">
        <v>1602</v>
      </c>
    </row>
    <row r="830" spans="1:44" ht="12.75" customHeight="1">
      <c r="A830" s="4">
        <f>DATE(88,4,11)</f>
        <v>32244</v>
      </c>
      <c r="B830" s="2" t="s">
        <v>152</v>
      </c>
      <c r="C830" s="2" t="s">
        <v>379</v>
      </c>
      <c r="E830" s="18">
        <v>0</v>
      </c>
      <c r="F830" s="18">
        <v>0</v>
      </c>
      <c r="G830" s="18">
        <v>0</v>
      </c>
      <c r="H830" s="18">
        <v>0</v>
      </c>
      <c r="I830" s="18">
        <v>4</v>
      </c>
      <c r="J830" s="18">
        <v>2</v>
      </c>
      <c r="K830" s="18">
        <v>0</v>
      </c>
      <c r="T830" s="3">
        <v>6</v>
      </c>
      <c r="U830" s="3">
        <v>8</v>
      </c>
      <c r="V830" s="3">
        <v>1</v>
      </c>
      <c r="X830" s="2" t="s">
        <v>1603</v>
      </c>
      <c r="Y830" s="18">
        <v>0</v>
      </c>
      <c r="Z830" s="18">
        <v>0</v>
      </c>
      <c r="AA830" s="18">
        <v>2</v>
      </c>
      <c r="AB830" s="18">
        <v>0</v>
      </c>
      <c r="AC830" s="18">
        <v>0</v>
      </c>
      <c r="AD830" s="18">
        <v>0</v>
      </c>
      <c r="AE830" s="18">
        <v>0</v>
      </c>
      <c r="AN830" s="3">
        <v>2</v>
      </c>
      <c r="AO830" s="3">
        <v>8</v>
      </c>
      <c r="AP830" s="3">
        <v>1</v>
      </c>
      <c r="AR830" s="2" t="s">
        <v>1604</v>
      </c>
    </row>
    <row r="831" spans="1:44" ht="12.75" customHeight="1">
      <c r="A831" s="4">
        <f>DATE(88,4,12)</f>
        <v>32245</v>
      </c>
      <c r="B831" s="2" t="s">
        <v>152</v>
      </c>
      <c r="C831" s="2" t="s">
        <v>388</v>
      </c>
      <c r="E831" s="18">
        <v>0</v>
      </c>
      <c r="F831" s="18">
        <v>0</v>
      </c>
      <c r="G831" s="18">
        <v>1</v>
      </c>
      <c r="H831" s="18">
        <v>1</v>
      </c>
      <c r="I831" s="18">
        <v>3</v>
      </c>
      <c r="J831" s="18">
        <v>1</v>
      </c>
      <c r="K831" s="18">
        <v>2</v>
      </c>
      <c r="T831" s="3">
        <v>8</v>
      </c>
      <c r="U831" s="3">
        <v>10</v>
      </c>
      <c r="V831" s="3">
        <v>2</v>
      </c>
      <c r="X831" s="2" t="s">
        <v>1605</v>
      </c>
      <c r="Y831" s="18">
        <v>0</v>
      </c>
      <c r="Z831" s="18">
        <v>0</v>
      </c>
      <c r="AA831" s="18">
        <v>1</v>
      </c>
      <c r="AB831" s="18">
        <v>1</v>
      </c>
      <c r="AC831" s="18">
        <v>2</v>
      </c>
      <c r="AD831" s="18">
        <v>0</v>
      </c>
      <c r="AE831" s="18">
        <v>0</v>
      </c>
      <c r="AN831" s="3">
        <v>4</v>
      </c>
      <c r="AO831" s="3">
        <v>8</v>
      </c>
      <c r="AP831" s="3">
        <v>4</v>
      </c>
      <c r="AR831" s="2" t="s">
        <v>1606</v>
      </c>
    </row>
    <row r="832" spans="1:44" ht="12.75" customHeight="1">
      <c r="A832" s="4">
        <f>DATE(88,4,14)</f>
        <v>32247</v>
      </c>
      <c r="C832" s="2" t="s">
        <v>174</v>
      </c>
      <c r="E832" s="18">
        <v>0</v>
      </c>
      <c r="F832" s="18">
        <v>0</v>
      </c>
      <c r="G832" s="18">
        <v>0</v>
      </c>
      <c r="H832" s="18">
        <v>6</v>
      </c>
      <c r="I832" s="18">
        <v>5</v>
      </c>
      <c r="J832" s="18">
        <v>0</v>
      </c>
      <c r="K832" s="18" t="s">
        <v>162</v>
      </c>
      <c r="T832" s="3">
        <v>11</v>
      </c>
      <c r="U832" s="3">
        <v>10</v>
      </c>
      <c r="V832" s="3">
        <v>1</v>
      </c>
      <c r="X832" s="2" t="s">
        <v>1599</v>
      </c>
      <c r="Y832" s="18">
        <v>0</v>
      </c>
      <c r="Z832" s="18">
        <v>2</v>
      </c>
      <c r="AA832" s="18">
        <v>0</v>
      </c>
      <c r="AB832" s="18">
        <v>2</v>
      </c>
      <c r="AC832" s="18">
        <v>0</v>
      </c>
      <c r="AD832" s="18">
        <v>2</v>
      </c>
      <c r="AE832" s="18">
        <v>0</v>
      </c>
      <c r="AN832" s="3">
        <v>6</v>
      </c>
      <c r="AO832" s="3">
        <v>9</v>
      </c>
      <c r="AP832" s="3">
        <v>2</v>
      </c>
      <c r="AR832" s="2" t="s">
        <v>1607</v>
      </c>
    </row>
    <row r="833" spans="1:44" ht="12.75" customHeight="1">
      <c r="A833" s="4">
        <f>DATE(88,4,19)</f>
        <v>32252</v>
      </c>
      <c r="B833" s="2" t="s">
        <v>152</v>
      </c>
      <c r="C833" s="2" t="s">
        <v>374</v>
      </c>
      <c r="E833" s="18">
        <v>2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1</v>
      </c>
      <c r="T833" s="3">
        <v>3</v>
      </c>
      <c r="U833" s="3">
        <v>6</v>
      </c>
      <c r="V833" s="3">
        <v>2</v>
      </c>
      <c r="X833" s="2" t="s">
        <v>1608</v>
      </c>
      <c r="Y833" s="18">
        <v>3</v>
      </c>
      <c r="Z833" s="18">
        <v>0</v>
      </c>
      <c r="AA833" s="18">
        <v>2</v>
      </c>
      <c r="AB833" s="18">
        <v>3</v>
      </c>
      <c r="AC833" s="18">
        <v>0</v>
      </c>
      <c r="AD833" s="18">
        <v>1</v>
      </c>
      <c r="AE833" s="18" t="s">
        <v>162</v>
      </c>
      <c r="AN833" s="3">
        <v>9</v>
      </c>
      <c r="AO833" s="3">
        <v>11</v>
      </c>
      <c r="AP833" s="3">
        <v>1</v>
      </c>
      <c r="AR833" s="2" t="s">
        <v>1609</v>
      </c>
    </row>
    <row r="834" spans="1:44" ht="12.75" customHeight="1">
      <c r="A834" s="4">
        <f>DATE(88,4,21)</f>
        <v>32254</v>
      </c>
      <c r="B834" s="2" t="s">
        <v>152</v>
      </c>
      <c r="C834" s="2" t="s">
        <v>236</v>
      </c>
      <c r="E834" s="18">
        <v>2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T834" s="3">
        <v>2</v>
      </c>
      <c r="U834" s="3">
        <v>4</v>
      </c>
      <c r="V834" s="3">
        <v>4</v>
      </c>
      <c r="X834" s="2" t="s">
        <v>1610</v>
      </c>
      <c r="Y834" s="18">
        <v>0</v>
      </c>
      <c r="Z834" s="18">
        <v>0</v>
      </c>
      <c r="AA834" s="18">
        <v>3</v>
      </c>
      <c r="AB834" s="18">
        <v>0</v>
      </c>
      <c r="AC834" s="18">
        <v>1</v>
      </c>
      <c r="AD834" s="18">
        <v>0</v>
      </c>
      <c r="AE834" s="18" t="s">
        <v>162</v>
      </c>
      <c r="AN834" s="3">
        <v>4</v>
      </c>
      <c r="AO834" s="3">
        <v>5</v>
      </c>
      <c r="AP834" s="3">
        <v>1</v>
      </c>
      <c r="AR834" s="2" t="s">
        <v>1569</v>
      </c>
    </row>
    <row r="835" spans="1:44" ht="12.75" customHeight="1">
      <c r="A835" s="4">
        <f>DATE(88,4,23)</f>
        <v>32256</v>
      </c>
      <c r="B835" s="2" t="s">
        <v>152</v>
      </c>
      <c r="C835" s="2" t="s">
        <v>191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6</v>
      </c>
      <c r="K835" s="18">
        <v>0</v>
      </c>
      <c r="T835" s="3">
        <v>6</v>
      </c>
      <c r="U835" s="3">
        <v>5</v>
      </c>
      <c r="V835" s="3">
        <v>4</v>
      </c>
      <c r="X835" s="2" t="s">
        <v>1611</v>
      </c>
      <c r="Y835" s="18">
        <v>0</v>
      </c>
      <c r="Z835" s="18">
        <v>2</v>
      </c>
      <c r="AA835" s="18">
        <v>2</v>
      </c>
      <c r="AB835" s="18">
        <v>0</v>
      </c>
      <c r="AC835" s="18">
        <v>3</v>
      </c>
      <c r="AD835" s="18">
        <v>0</v>
      </c>
      <c r="AE835" s="18" t="s">
        <v>162</v>
      </c>
      <c r="AN835" s="3">
        <v>7</v>
      </c>
      <c r="AO835" s="3">
        <v>10</v>
      </c>
      <c r="AP835" s="3">
        <v>0</v>
      </c>
      <c r="AR835" s="2" t="s">
        <v>1537</v>
      </c>
    </row>
    <row r="836" spans="1:44" ht="12.75" customHeight="1">
      <c r="A836" s="4">
        <f>DATE(88,4,25)</f>
        <v>32258</v>
      </c>
      <c r="C836" s="2" t="s">
        <v>305</v>
      </c>
      <c r="E836" s="18">
        <v>1</v>
      </c>
      <c r="F836" s="18">
        <v>0</v>
      </c>
      <c r="G836" s="18">
        <v>2</v>
      </c>
      <c r="H836" s="18">
        <v>0</v>
      </c>
      <c r="I836" s="18">
        <v>1</v>
      </c>
      <c r="J836" s="18">
        <v>2</v>
      </c>
      <c r="K836" s="18" t="s">
        <v>162</v>
      </c>
      <c r="T836" s="3">
        <v>6</v>
      </c>
      <c r="U836" s="3">
        <v>8</v>
      </c>
      <c r="V836" s="3">
        <v>3</v>
      </c>
      <c r="X836" s="2" t="s">
        <v>1597</v>
      </c>
      <c r="Y836" s="18">
        <v>0</v>
      </c>
      <c r="Z836" s="18">
        <v>1</v>
      </c>
      <c r="AA836" s="18">
        <v>0</v>
      </c>
      <c r="AB836" s="18">
        <v>0</v>
      </c>
      <c r="AC836" s="18">
        <v>1</v>
      </c>
      <c r="AD836" s="18">
        <v>0</v>
      </c>
      <c r="AE836" s="18">
        <v>1</v>
      </c>
      <c r="AN836" s="3">
        <v>3</v>
      </c>
      <c r="AO836" s="3">
        <v>5</v>
      </c>
      <c r="AP836" s="3">
        <v>4</v>
      </c>
      <c r="AR836" s="2" t="s">
        <v>1612</v>
      </c>
    </row>
    <row r="837" spans="1:44" ht="12.75" customHeight="1">
      <c r="A837" s="4">
        <f>DATE(88,4,28)</f>
        <v>32261</v>
      </c>
      <c r="B837" s="2" t="s">
        <v>152</v>
      </c>
      <c r="C837" s="2" t="s">
        <v>175</v>
      </c>
      <c r="E837" s="18">
        <v>0</v>
      </c>
      <c r="F837" s="18">
        <v>0</v>
      </c>
      <c r="G837" s="18">
        <v>1</v>
      </c>
      <c r="H837" s="18">
        <v>0</v>
      </c>
      <c r="I837" s="18">
        <v>2</v>
      </c>
      <c r="J837" s="18">
        <v>0</v>
      </c>
      <c r="K837" s="18">
        <v>2</v>
      </c>
      <c r="T837" s="3">
        <v>5</v>
      </c>
      <c r="U837" s="3">
        <v>8</v>
      </c>
      <c r="V837" s="3">
        <v>4</v>
      </c>
      <c r="X837" s="2" t="s">
        <v>1613</v>
      </c>
      <c r="Y837" s="18">
        <v>4</v>
      </c>
      <c r="Z837" s="18">
        <v>0</v>
      </c>
      <c r="AA837" s="18">
        <v>2</v>
      </c>
      <c r="AB837" s="18">
        <v>0</v>
      </c>
      <c r="AC837" s="18">
        <v>0</v>
      </c>
      <c r="AD837" s="18">
        <v>2</v>
      </c>
      <c r="AE837" s="18" t="s">
        <v>162</v>
      </c>
      <c r="AN837" s="3">
        <v>8</v>
      </c>
      <c r="AO837" s="3">
        <v>7</v>
      </c>
      <c r="AP837" s="3">
        <v>2</v>
      </c>
      <c r="AR837" s="2" t="s">
        <v>1614</v>
      </c>
    </row>
    <row r="838" spans="1:44" ht="12.75" customHeight="1">
      <c r="A838" s="4">
        <f>DATE(88,5,3)</f>
        <v>32266</v>
      </c>
      <c r="C838" s="2" t="s">
        <v>379</v>
      </c>
      <c r="E838" s="18">
        <v>0</v>
      </c>
      <c r="F838" s="18">
        <v>4</v>
      </c>
      <c r="G838" s="18">
        <v>3</v>
      </c>
      <c r="H838" s="18">
        <v>0</v>
      </c>
      <c r="I838" s="18">
        <v>3</v>
      </c>
      <c r="J838" s="18">
        <v>0</v>
      </c>
      <c r="K838" s="18" t="s">
        <v>162</v>
      </c>
      <c r="T838" s="3">
        <v>10</v>
      </c>
      <c r="U838" s="3">
        <v>11</v>
      </c>
      <c r="V838" s="3">
        <v>0</v>
      </c>
      <c r="X838" s="2" t="s">
        <v>1615</v>
      </c>
      <c r="Y838" s="18">
        <v>2</v>
      </c>
      <c r="Z838" s="18">
        <v>0</v>
      </c>
      <c r="AA838" s="18">
        <v>0</v>
      </c>
      <c r="AB838" s="18">
        <v>3</v>
      </c>
      <c r="AC838" s="18">
        <v>0</v>
      </c>
      <c r="AD838" s="18">
        <v>0</v>
      </c>
      <c r="AE838" s="18">
        <v>0</v>
      </c>
      <c r="AN838" s="3">
        <v>5</v>
      </c>
      <c r="AO838" s="3">
        <v>3</v>
      </c>
      <c r="AP838" s="3">
        <v>1</v>
      </c>
      <c r="AR838" s="2" t="s">
        <v>1616</v>
      </c>
    </row>
    <row r="839" spans="1:44" ht="12.75" customHeight="1">
      <c r="A839" s="4">
        <f>DATE(88,5,7)</f>
        <v>32270</v>
      </c>
      <c r="C839" s="2" t="s">
        <v>183</v>
      </c>
      <c r="E839" s="18">
        <v>0</v>
      </c>
      <c r="F839" s="18">
        <v>0</v>
      </c>
      <c r="G839" s="18">
        <v>2</v>
      </c>
      <c r="H839" s="18">
        <v>2</v>
      </c>
      <c r="I839" s="18">
        <v>3</v>
      </c>
      <c r="J839" s="18">
        <v>0</v>
      </c>
      <c r="K839" s="18" t="s">
        <v>162</v>
      </c>
      <c r="T839" s="3">
        <v>7</v>
      </c>
      <c r="U839" s="3">
        <v>7</v>
      </c>
      <c r="V839" s="3">
        <v>3</v>
      </c>
      <c r="X839" s="2" t="s">
        <v>1617</v>
      </c>
      <c r="Y839" s="18">
        <v>2</v>
      </c>
      <c r="Z839" s="18">
        <v>0</v>
      </c>
      <c r="AA839" s="18">
        <v>1</v>
      </c>
      <c r="AB839" s="18">
        <v>0</v>
      </c>
      <c r="AC839" s="18">
        <v>1</v>
      </c>
      <c r="AD839" s="18">
        <v>0</v>
      </c>
      <c r="AE839" s="18">
        <v>0</v>
      </c>
      <c r="AN839" s="3">
        <v>4</v>
      </c>
      <c r="AO839" s="3">
        <v>5</v>
      </c>
      <c r="AP839" s="3">
        <v>2</v>
      </c>
      <c r="AR839" s="2" t="s">
        <v>1618</v>
      </c>
    </row>
    <row r="840" spans="1:44" ht="12.75" customHeight="1">
      <c r="A840" s="4">
        <f>DATE(88,5,11)</f>
        <v>32274</v>
      </c>
      <c r="C840" s="2" t="s">
        <v>388</v>
      </c>
      <c r="E840" s="18">
        <v>0</v>
      </c>
      <c r="F840" s="18">
        <v>0</v>
      </c>
      <c r="G840" s="18">
        <v>2</v>
      </c>
      <c r="H840" s="18">
        <v>0</v>
      </c>
      <c r="I840" s="18">
        <v>3</v>
      </c>
      <c r="J840" s="18">
        <v>4</v>
      </c>
      <c r="K840" s="18" t="s">
        <v>162</v>
      </c>
      <c r="T840" s="3">
        <v>9</v>
      </c>
      <c r="U840" s="3">
        <v>8</v>
      </c>
      <c r="V840" s="3">
        <v>0</v>
      </c>
      <c r="X840" s="2" t="s">
        <v>1603</v>
      </c>
      <c r="Y840" s="18">
        <v>1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  <c r="AE840" s="18">
        <v>1</v>
      </c>
      <c r="AN840" s="3">
        <v>2</v>
      </c>
      <c r="AO840" s="3">
        <v>6</v>
      </c>
      <c r="AP840" s="3">
        <v>1</v>
      </c>
      <c r="AR840" s="2" t="s">
        <v>1619</v>
      </c>
    </row>
    <row r="841" spans="1:44" ht="12.75" customHeight="1">
      <c r="A841" s="4">
        <f>DATE(88,5,12)</f>
        <v>32275</v>
      </c>
      <c r="C841" s="2" t="s">
        <v>374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1</v>
      </c>
      <c r="K841" s="18">
        <v>0</v>
      </c>
      <c r="T841" s="3">
        <v>1</v>
      </c>
      <c r="U841" s="3">
        <v>4</v>
      </c>
      <c r="V841" s="3">
        <v>3</v>
      </c>
      <c r="X841" s="2" t="s">
        <v>1620</v>
      </c>
      <c r="Y841" s="18">
        <v>0</v>
      </c>
      <c r="Z841" s="18">
        <v>1</v>
      </c>
      <c r="AA841" s="18">
        <v>3</v>
      </c>
      <c r="AB841" s="18">
        <v>0</v>
      </c>
      <c r="AC841" s="18">
        <v>0</v>
      </c>
      <c r="AD841" s="18">
        <v>0</v>
      </c>
      <c r="AE841" s="18">
        <v>0</v>
      </c>
      <c r="AN841" s="3">
        <v>4</v>
      </c>
      <c r="AO841" s="3">
        <v>5</v>
      </c>
      <c r="AP841" s="3">
        <v>0</v>
      </c>
      <c r="AR841" s="2" t="s">
        <v>1564</v>
      </c>
    </row>
    <row r="842" spans="1:44" ht="12.75" customHeight="1">
      <c r="A842" s="4">
        <f>DATE(88,5,17)</f>
        <v>32280</v>
      </c>
      <c r="C842" s="2" t="s">
        <v>236</v>
      </c>
      <c r="E842" s="18">
        <v>0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T842" s="3">
        <v>0</v>
      </c>
      <c r="U842" s="3">
        <v>5</v>
      </c>
      <c r="V842" s="3">
        <v>1</v>
      </c>
      <c r="X842" s="2" t="s">
        <v>1621</v>
      </c>
      <c r="Y842" s="18">
        <v>0</v>
      </c>
      <c r="Z842" s="18">
        <v>0</v>
      </c>
      <c r="AA842" s="18">
        <v>0</v>
      </c>
      <c r="AB842" s="18">
        <v>4</v>
      </c>
      <c r="AC842" s="18">
        <v>1</v>
      </c>
      <c r="AD842" s="18">
        <v>0</v>
      </c>
      <c r="AE842" s="18">
        <v>0</v>
      </c>
      <c r="AN842" s="3">
        <v>5</v>
      </c>
      <c r="AO842" s="3">
        <v>9</v>
      </c>
      <c r="AP842" s="3">
        <v>0</v>
      </c>
      <c r="AR842" s="2" t="s">
        <v>1569</v>
      </c>
    </row>
    <row r="843" spans="1:44" ht="12.75" customHeight="1">
      <c r="A843" s="4">
        <f>DATE(88,5,21)</f>
        <v>32284</v>
      </c>
      <c r="B843" s="2" t="s">
        <v>152</v>
      </c>
      <c r="C843" s="2" t="s">
        <v>174</v>
      </c>
      <c r="E843" s="18">
        <v>0</v>
      </c>
      <c r="F843" s="18">
        <v>0</v>
      </c>
      <c r="G843" s="18">
        <v>3</v>
      </c>
      <c r="H843" s="18">
        <v>0</v>
      </c>
      <c r="I843" s="18">
        <v>3</v>
      </c>
      <c r="J843" s="18">
        <v>0</v>
      </c>
      <c r="K843" s="18">
        <v>0</v>
      </c>
      <c r="T843" s="3">
        <v>6</v>
      </c>
      <c r="U843" s="3">
        <v>6</v>
      </c>
      <c r="V843" s="3">
        <v>1</v>
      </c>
      <c r="X843" s="2" t="s">
        <v>1622</v>
      </c>
      <c r="Y843" s="18">
        <v>0</v>
      </c>
      <c r="Z843" s="18">
        <v>0</v>
      </c>
      <c r="AA843" s="18">
        <v>3</v>
      </c>
      <c r="AB843" s="18">
        <v>0</v>
      </c>
      <c r="AC843" s="18">
        <v>2</v>
      </c>
      <c r="AD843" s="18">
        <v>0</v>
      </c>
      <c r="AE843" s="18">
        <v>2</v>
      </c>
      <c r="AN843" s="3">
        <v>7</v>
      </c>
      <c r="AO843" s="3">
        <v>10</v>
      </c>
      <c r="AP843" s="3">
        <v>1</v>
      </c>
      <c r="AR843" s="2" t="s">
        <v>1623</v>
      </c>
    </row>
    <row r="844" spans="1:44" ht="12.75" customHeight="1">
      <c r="A844" s="4">
        <f>DATE(88,5,24)</f>
        <v>32287</v>
      </c>
      <c r="B844" s="2" t="s">
        <v>239</v>
      </c>
      <c r="C844" s="2" t="s">
        <v>367</v>
      </c>
      <c r="D844" s="2" t="s">
        <v>258</v>
      </c>
      <c r="E844" s="18">
        <v>2</v>
      </c>
      <c r="F844" s="18">
        <v>5</v>
      </c>
      <c r="G844" s="18">
        <v>0</v>
      </c>
      <c r="H844" s="18">
        <v>6</v>
      </c>
      <c r="I844" s="18" t="s">
        <v>162</v>
      </c>
      <c r="T844" s="3">
        <v>13</v>
      </c>
      <c r="U844" s="3">
        <v>13</v>
      </c>
      <c r="V844" s="3">
        <v>2</v>
      </c>
      <c r="X844" s="2" t="s">
        <v>1624</v>
      </c>
      <c r="Y844" s="18">
        <v>2</v>
      </c>
      <c r="Z844" s="18">
        <v>0</v>
      </c>
      <c r="AA844" s="18">
        <v>0</v>
      </c>
      <c r="AB844" s="18">
        <v>0</v>
      </c>
      <c r="AC844" s="18">
        <v>0</v>
      </c>
      <c r="AN844" s="3">
        <v>2</v>
      </c>
      <c r="AO844" s="3">
        <v>4</v>
      </c>
      <c r="AP844" s="3">
        <v>2</v>
      </c>
      <c r="AR844" s="2" t="s">
        <v>1625</v>
      </c>
    </row>
    <row r="845" spans="1:44" ht="12.75" customHeight="1">
      <c r="A845" s="4">
        <f>DATE(88,5,26)</f>
        <v>32289</v>
      </c>
      <c r="B845" s="2" t="s">
        <v>152</v>
      </c>
      <c r="C845" s="2" t="s">
        <v>191</v>
      </c>
      <c r="D845" s="2" t="s">
        <v>258</v>
      </c>
      <c r="E845" s="18">
        <v>1</v>
      </c>
      <c r="F845" s="18">
        <v>0</v>
      </c>
      <c r="G845" s="18">
        <v>5</v>
      </c>
      <c r="H845" s="18">
        <v>0</v>
      </c>
      <c r="I845" s="18">
        <v>1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2</v>
      </c>
      <c r="T845" s="3">
        <v>9</v>
      </c>
      <c r="U845" s="3">
        <v>15</v>
      </c>
      <c r="V845" s="3">
        <v>2</v>
      </c>
      <c r="X845" s="2" t="s">
        <v>1626</v>
      </c>
      <c r="Y845" s="18">
        <v>3</v>
      </c>
      <c r="Z845" s="18">
        <v>0</v>
      </c>
      <c r="AA845" s="18">
        <v>3</v>
      </c>
      <c r="AB845" s="18">
        <v>1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3">
        <v>7</v>
      </c>
      <c r="AO845" s="3">
        <v>15</v>
      </c>
      <c r="AP845" s="3">
        <v>2</v>
      </c>
      <c r="AR845" s="2" t="s">
        <v>1627</v>
      </c>
    </row>
    <row r="846" spans="1:44" ht="12.75" customHeight="1">
      <c r="A846" s="4">
        <f>DATE(88,6,7)</f>
        <v>32301</v>
      </c>
      <c r="B846" s="2" t="s">
        <v>239</v>
      </c>
      <c r="C846" s="2" t="s">
        <v>1628</v>
      </c>
      <c r="D846" s="2" t="s">
        <v>260</v>
      </c>
      <c r="E846" s="18">
        <v>2</v>
      </c>
      <c r="F846" s="18">
        <v>0</v>
      </c>
      <c r="G846" s="18">
        <v>1</v>
      </c>
      <c r="H846" s="18">
        <v>2</v>
      </c>
      <c r="I846" s="18">
        <v>0</v>
      </c>
      <c r="J846" s="18">
        <v>0</v>
      </c>
      <c r="K846" s="18">
        <v>0</v>
      </c>
      <c r="T846" s="3">
        <v>5</v>
      </c>
      <c r="U846" s="3">
        <v>8</v>
      </c>
      <c r="V846" s="3">
        <v>2</v>
      </c>
      <c r="X846" s="2" t="s">
        <v>1629</v>
      </c>
      <c r="Y846" s="18">
        <v>0</v>
      </c>
      <c r="Z846" s="18">
        <v>0</v>
      </c>
      <c r="AA846" s="18">
        <v>0</v>
      </c>
      <c r="AB846" s="18">
        <v>0</v>
      </c>
      <c r="AC846" s="18">
        <v>0</v>
      </c>
      <c r="AD846" s="18">
        <v>2</v>
      </c>
      <c r="AE846" s="18">
        <v>0</v>
      </c>
      <c r="AN846" s="3">
        <v>2</v>
      </c>
      <c r="AO846" s="3">
        <v>3</v>
      </c>
      <c r="AP846" s="3">
        <v>0</v>
      </c>
      <c r="AR846" s="2" t="s">
        <v>1630</v>
      </c>
    </row>
    <row r="847" spans="1:44" ht="12.75" customHeight="1">
      <c r="A847" s="4">
        <f>DATE(88,6,9)</f>
        <v>32303</v>
      </c>
      <c r="B847" s="2" t="s">
        <v>239</v>
      </c>
      <c r="C847" s="2" t="s">
        <v>374</v>
      </c>
      <c r="D847" s="2" t="s">
        <v>260</v>
      </c>
      <c r="E847" s="18">
        <v>0</v>
      </c>
      <c r="F847" s="18">
        <v>1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T847" s="3">
        <v>1</v>
      </c>
      <c r="U847" s="3">
        <v>3</v>
      </c>
      <c r="V847" s="3">
        <v>2</v>
      </c>
      <c r="X847" s="2" t="s">
        <v>1631</v>
      </c>
      <c r="Y847" s="18">
        <v>1</v>
      </c>
      <c r="Z847" s="18">
        <v>0</v>
      </c>
      <c r="AA847" s="18">
        <v>1</v>
      </c>
      <c r="AB847" s="18">
        <v>1</v>
      </c>
      <c r="AC847" s="18">
        <v>0</v>
      </c>
      <c r="AD847" s="18">
        <v>5</v>
      </c>
      <c r="AE847" s="18">
        <v>1</v>
      </c>
      <c r="AN847" s="3">
        <v>9</v>
      </c>
      <c r="AO847" s="3">
        <v>12</v>
      </c>
      <c r="AP847" s="3">
        <v>0</v>
      </c>
      <c r="AR847" s="2" t="s">
        <v>1564</v>
      </c>
    </row>
    <row r="848" ht="12.75" customHeight="1">
      <c r="A848" s="4"/>
    </row>
    <row r="849" spans="1:45" ht="12.75" customHeight="1">
      <c r="A849" s="4">
        <f>DATE(89,4,4)</f>
        <v>32602</v>
      </c>
      <c r="B849" s="2" t="s">
        <v>152</v>
      </c>
      <c r="C849" s="2" t="s">
        <v>305</v>
      </c>
      <c r="E849" s="18">
        <v>0</v>
      </c>
      <c r="F849" s="18">
        <v>0</v>
      </c>
      <c r="G849" s="18">
        <v>1</v>
      </c>
      <c r="H849" s="18">
        <v>0</v>
      </c>
      <c r="I849" s="18">
        <v>0</v>
      </c>
      <c r="J849" s="18">
        <v>0</v>
      </c>
      <c r="K849" s="18">
        <v>1</v>
      </c>
      <c r="L849" s="18">
        <v>0</v>
      </c>
      <c r="M849" s="18">
        <v>0</v>
      </c>
      <c r="N849" s="18">
        <v>0</v>
      </c>
      <c r="O849" s="18">
        <v>1</v>
      </c>
      <c r="T849" s="3">
        <v>3</v>
      </c>
      <c r="U849" s="3">
        <v>15</v>
      </c>
      <c r="V849" s="3">
        <v>4</v>
      </c>
      <c r="X849" s="2" t="s">
        <v>1632</v>
      </c>
      <c r="Y849" s="18">
        <v>2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2</v>
      </c>
      <c r="AN849" s="3">
        <v>4</v>
      </c>
      <c r="AO849" s="3">
        <v>6</v>
      </c>
      <c r="AP849" s="3">
        <v>0</v>
      </c>
      <c r="AR849" s="2" t="s">
        <v>1633</v>
      </c>
      <c r="AS849" s="2" t="s">
        <v>1040</v>
      </c>
    </row>
    <row r="850" spans="1:46" ht="12.75" customHeight="1">
      <c r="A850" s="4">
        <f>DATE(89,4,6)</f>
        <v>32604</v>
      </c>
      <c r="B850" s="2" t="s">
        <v>152</v>
      </c>
      <c r="C850" s="2" t="s">
        <v>175</v>
      </c>
      <c r="E850" s="18">
        <v>0</v>
      </c>
      <c r="F850" s="18">
        <v>0</v>
      </c>
      <c r="G850" s="18">
        <v>0</v>
      </c>
      <c r="H850" s="18">
        <v>1</v>
      </c>
      <c r="I850" s="18">
        <v>0</v>
      </c>
      <c r="J850" s="18">
        <v>0</v>
      </c>
      <c r="K850" s="18">
        <v>0</v>
      </c>
      <c r="T850" s="3">
        <v>1</v>
      </c>
      <c r="U850" s="3">
        <v>3</v>
      </c>
      <c r="V850" s="3">
        <v>5</v>
      </c>
      <c r="X850" s="2" t="s">
        <v>1634</v>
      </c>
      <c r="Y850" s="18">
        <v>1</v>
      </c>
      <c r="Z850" s="18">
        <v>0</v>
      </c>
      <c r="AA850" s="18">
        <v>1</v>
      </c>
      <c r="AB850" s="18">
        <v>2</v>
      </c>
      <c r="AC850" s="18">
        <v>0</v>
      </c>
      <c r="AD850" s="18">
        <v>0</v>
      </c>
      <c r="AE850" s="18" t="s">
        <v>162</v>
      </c>
      <c r="AN850" s="3">
        <v>4</v>
      </c>
      <c r="AO850" s="3">
        <v>6</v>
      </c>
      <c r="AP850" s="3">
        <v>2</v>
      </c>
      <c r="AR850" s="2" t="s">
        <v>1635</v>
      </c>
      <c r="AS850" s="2" t="s">
        <v>176</v>
      </c>
      <c r="AT850" s="2" t="s">
        <v>323</v>
      </c>
    </row>
    <row r="851" spans="1:45" ht="12.75" customHeight="1">
      <c r="A851" s="4">
        <f>DATE(89,4,8)</f>
        <v>32606</v>
      </c>
      <c r="C851" s="2" t="s">
        <v>367</v>
      </c>
      <c r="E851" s="18">
        <v>3</v>
      </c>
      <c r="F851" s="18">
        <v>1</v>
      </c>
      <c r="G851" s="18">
        <v>0</v>
      </c>
      <c r="H851" s="18">
        <v>0</v>
      </c>
      <c r="I851" s="18">
        <v>0</v>
      </c>
      <c r="J851" s="18">
        <v>5</v>
      </c>
      <c r="K851" s="18" t="s">
        <v>162</v>
      </c>
      <c r="T851" s="3">
        <v>9</v>
      </c>
      <c r="U851" s="3">
        <v>8</v>
      </c>
      <c r="V851" s="3">
        <v>0</v>
      </c>
      <c r="X851" s="2" t="s">
        <v>1636</v>
      </c>
      <c r="Y851" s="18">
        <v>0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  <c r="AE851" s="18">
        <v>0</v>
      </c>
      <c r="AN851" s="3">
        <v>0</v>
      </c>
      <c r="AO851" s="3">
        <v>6</v>
      </c>
      <c r="AP851" s="3">
        <v>2</v>
      </c>
      <c r="AR851" s="2" t="s">
        <v>1637</v>
      </c>
      <c r="AS851" s="2" t="s">
        <v>1102</v>
      </c>
    </row>
    <row r="852" spans="1:44" ht="12.75" customHeight="1">
      <c r="A852" s="4">
        <f>DATE(89,4,12)</f>
        <v>32610</v>
      </c>
      <c r="C852" s="2" t="s">
        <v>379</v>
      </c>
      <c r="E852" s="18">
        <v>2</v>
      </c>
      <c r="F852" s="18">
        <v>0</v>
      </c>
      <c r="G852" s="18">
        <v>0</v>
      </c>
      <c r="H852" s="18">
        <v>0</v>
      </c>
      <c r="I852" s="18">
        <v>1</v>
      </c>
      <c r="J852" s="18">
        <v>0</v>
      </c>
      <c r="K852" s="18">
        <v>0</v>
      </c>
      <c r="T852" s="3">
        <v>9</v>
      </c>
      <c r="U852" s="3">
        <v>11</v>
      </c>
      <c r="V852" s="3">
        <v>2</v>
      </c>
      <c r="X852" s="2" t="s">
        <v>1636</v>
      </c>
      <c r="Y852" s="18">
        <v>2</v>
      </c>
      <c r="Z852" s="18">
        <v>0</v>
      </c>
      <c r="AA852" s="18">
        <v>0</v>
      </c>
      <c r="AB852" s="18">
        <v>0</v>
      </c>
      <c r="AC852" s="18">
        <v>1</v>
      </c>
      <c r="AD852" s="18">
        <v>0</v>
      </c>
      <c r="AE852" s="18">
        <v>0</v>
      </c>
      <c r="AN852" s="3">
        <v>3</v>
      </c>
      <c r="AO852" s="3">
        <v>6</v>
      </c>
      <c r="AP852" s="3">
        <v>3</v>
      </c>
      <c r="AR852" s="2" t="s">
        <v>1638</v>
      </c>
    </row>
    <row r="853" spans="1:44" ht="12.75" customHeight="1">
      <c r="A853" s="4">
        <f>DATE(89,4,13)</f>
        <v>32611</v>
      </c>
      <c r="B853" s="2" t="s">
        <v>152</v>
      </c>
      <c r="C853" s="2" t="s">
        <v>132</v>
      </c>
      <c r="E853" s="18">
        <v>0</v>
      </c>
      <c r="F853" s="18">
        <v>4</v>
      </c>
      <c r="G853" s="18">
        <v>0</v>
      </c>
      <c r="H853" s="18">
        <v>1</v>
      </c>
      <c r="I853" s="18">
        <v>0</v>
      </c>
      <c r="J853" s="18">
        <v>1</v>
      </c>
      <c r="K853" s="18">
        <v>0</v>
      </c>
      <c r="T853" s="3">
        <v>6</v>
      </c>
      <c r="U853" s="3">
        <v>10</v>
      </c>
      <c r="V853" s="3">
        <v>2</v>
      </c>
      <c r="X853" s="2" t="s">
        <v>1639</v>
      </c>
      <c r="Y853" s="18">
        <v>0</v>
      </c>
      <c r="Z853" s="18">
        <v>0</v>
      </c>
      <c r="AA853" s="18">
        <v>0</v>
      </c>
      <c r="AB853" s="18">
        <v>0</v>
      </c>
      <c r="AC853" s="18">
        <v>2</v>
      </c>
      <c r="AD853" s="18">
        <v>0</v>
      </c>
      <c r="AE853" s="18">
        <v>0</v>
      </c>
      <c r="AN853" s="3">
        <v>2</v>
      </c>
      <c r="AO853" s="3">
        <v>4</v>
      </c>
      <c r="AP853" s="3">
        <v>1</v>
      </c>
      <c r="AR853" s="2" t="s">
        <v>1640</v>
      </c>
    </row>
    <row r="854" spans="1:44" ht="12.75" customHeight="1">
      <c r="A854" s="4">
        <f>DATE(89,4,19)</f>
        <v>32617</v>
      </c>
      <c r="B854" s="2" t="s">
        <v>152</v>
      </c>
      <c r="C854" s="2" t="s">
        <v>174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T854" s="3">
        <v>0</v>
      </c>
      <c r="U854" s="3">
        <v>1</v>
      </c>
      <c r="V854" s="3">
        <v>0</v>
      </c>
      <c r="X854" s="2" t="s">
        <v>1641</v>
      </c>
      <c r="Y854" s="18">
        <v>0</v>
      </c>
      <c r="Z854" s="18">
        <v>0</v>
      </c>
      <c r="AA854" s="18">
        <v>2</v>
      </c>
      <c r="AB854" s="18">
        <v>1</v>
      </c>
      <c r="AC854" s="18">
        <v>7</v>
      </c>
      <c r="AD854" s="18" t="s">
        <v>162</v>
      </c>
      <c r="AN854" s="3">
        <v>10</v>
      </c>
      <c r="AO854" s="3">
        <v>7</v>
      </c>
      <c r="AP854" s="3">
        <v>0</v>
      </c>
      <c r="AR854" s="2" t="s">
        <v>1642</v>
      </c>
    </row>
    <row r="855" spans="1:44" ht="12.75" customHeight="1">
      <c r="A855" s="4">
        <f>DATE(89,4,20)</f>
        <v>32618</v>
      </c>
      <c r="C855" s="2" t="s">
        <v>374</v>
      </c>
      <c r="E855" s="18">
        <v>3</v>
      </c>
      <c r="F855" s="18">
        <v>2</v>
      </c>
      <c r="G855" s="18">
        <v>0</v>
      </c>
      <c r="H855" s="18">
        <v>0</v>
      </c>
      <c r="I855" s="18">
        <v>0</v>
      </c>
      <c r="J855" s="18">
        <v>1</v>
      </c>
      <c r="K855" s="18" t="s">
        <v>162</v>
      </c>
      <c r="T855" s="3">
        <v>6</v>
      </c>
      <c r="U855" s="3">
        <v>11</v>
      </c>
      <c r="V855" s="3">
        <v>0</v>
      </c>
      <c r="X855" s="2" t="s">
        <v>1636</v>
      </c>
      <c r="Y855" s="18">
        <v>0</v>
      </c>
      <c r="Z855" s="18">
        <v>0</v>
      </c>
      <c r="AA855" s="18">
        <v>0</v>
      </c>
      <c r="AB855" s="18">
        <v>0</v>
      </c>
      <c r="AC855" s="18">
        <v>0</v>
      </c>
      <c r="AD855" s="18">
        <v>2</v>
      </c>
      <c r="AE855" s="18">
        <v>0</v>
      </c>
      <c r="AN855" s="3">
        <v>2</v>
      </c>
      <c r="AO855" s="3">
        <v>4</v>
      </c>
      <c r="AP855" s="3">
        <v>3</v>
      </c>
      <c r="AR855" s="2" t="s">
        <v>1643</v>
      </c>
    </row>
    <row r="856" spans="1:44" ht="12.75" customHeight="1">
      <c r="A856" s="4">
        <f>DATE(89,4,22)</f>
        <v>32620</v>
      </c>
      <c r="C856" s="2" t="s">
        <v>191</v>
      </c>
      <c r="E856" s="18">
        <v>0</v>
      </c>
      <c r="F856" s="18">
        <v>0</v>
      </c>
      <c r="G856" s="18">
        <v>0</v>
      </c>
      <c r="H856" s="18">
        <v>0</v>
      </c>
      <c r="I856" s="18">
        <v>1</v>
      </c>
      <c r="J856" s="18">
        <v>0</v>
      </c>
      <c r="T856" s="3">
        <v>1</v>
      </c>
      <c r="U856" s="3">
        <v>2</v>
      </c>
      <c r="V856" s="3">
        <v>1</v>
      </c>
      <c r="X856" s="2" t="s">
        <v>1644</v>
      </c>
      <c r="Y856" s="18">
        <v>1</v>
      </c>
      <c r="Z856" s="18">
        <v>2</v>
      </c>
      <c r="AA856" s="18">
        <v>1</v>
      </c>
      <c r="AB856" s="18">
        <v>2</v>
      </c>
      <c r="AC856" s="18">
        <v>3</v>
      </c>
      <c r="AD856" s="18">
        <v>2</v>
      </c>
      <c r="AN856" s="3">
        <v>11</v>
      </c>
      <c r="AO856" s="3">
        <v>14</v>
      </c>
      <c r="AP856" s="3">
        <v>2</v>
      </c>
      <c r="AR856" s="2" t="s">
        <v>1645</v>
      </c>
    </row>
    <row r="857" spans="1:44" ht="12.75" customHeight="1">
      <c r="A857" s="4">
        <f>DATE(89,4,25)</f>
        <v>32623</v>
      </c>
      <c r="C857" s="2" t="s">
        <v>236</v>
      </c>
      <c r="E857" s="18">
        <v>1</v>
      </c>
      <c r="F857" s="18">
        <v>0</v>
      </c>
      <c r="G857" s="18">
        <v>4</v>
      </c>
      <c r="H857" s="18">
        <v>0</v>
      </c>
      <c r="I857" s="18">
        <v>1</v>
      </c>
      <c r="J857" s="18">
        <v>5</v>
      </c>
      <c r="K857" s="18" t="s">
        <v>162</v>
      </c>
      <c r="T857" s="3">
        <v>11</v>
      </c>
      <c r="U857" s="3">
        <v>8</v>
      </c>
      <c r="V857" s="3">
        <v>4</v>
      </c>
      <c r="X857" s="2" t="s">
        <v>1636</v>
      </c>
      <c r="Y857" s="18">
        <v>2</v>
      </c>
      <c r="Z857" s="18">
        <v>0</v>
      </c>
      <c r="AA857" s="18">
        <v>0</v>
      </c>
      <c r="AB857" s="18">
        <v>2</v>
      </c>
      <c r="AC857" s="18">
        <v>4</v>
      </c>
      <c r="AD857" s="18">
        <v>1</v>
      </c>
      <c r="AE857" s="18">
        <v>0</v>
      </c>
      <c r="AN857" s="3">
        <v>9</v>
      </c>
      <c r="AO857" s="3">
        <v>10</v>
      </c>
      <c r="AP857" s="3">
        <v>7</v>
      </c>
      <c r="AR857" s="2" t="s">
        <v>1646</v>
      </c>
    </row>
    <row r="858" spans="1:44" ht="12.75" customHeight="1">
      <c r="A858" s="4">
        <f>DATE(89,4,27)</f>
        <v>32625</v>
      </c>
      <c r="C858" s="2" t="s">
        <v>305</v>
      </c>
      <c r="E858" s="18">
        <v>0</v>
      </c>
      <c r="F858" s="18">
        <v>0</v>
      </c>
      <c r="G858" s="18">
        <v>4</v>
      </c>
      <c r="H858" s="18">
        <v>0</v>
      </c>
      <c r="I858" s="18">
        <v>0</v>
      </c>
      <c r="J858" s="18">
        <v>0</v>
      </c>
      <c r="K858" s="18">
        <v>1</v>
      </c>
      <c r="T858" s="3">
        <v>5</v>
      </c>
      <c r="U858" s="3">
        <v>8</v>
      </c>
      <c r="V858" s="3">
        <v>4</v>
      </c>
      <c r="X858" s="2" t="s">
        <v>1647</v>
      </c>
      <c r="Y858" s="18">
        <v>0</v>
      </c>
      <c r="Z858" s="18">
        <v>0</v>
      </c>
      <c r="AA858" s="18">
        <v>1</v>
      </c>
      <c r="AB858" s="18">
        <v>5</v>
      </c>
      <c r="AC858" s="18">
        <v>0</v>
      </c>
      <c r="AD858" s="18">
        <v>0</v>
      </c>
      <c r="AE858" s="18">
        <v>0</v>
      </c>
      <c r="AN858" s="3">
        <v>6</v>
      </c>
      <c r="AO858" s="3">
        <v>7</v>
      </c>
      <c r="AP858" s="3">
        <v>2</v>
      </c>
      <c r="AR858" s="2" t="s">
        <v>1648</v>
      </c>
    </row>
    <row r="859" spans="1:44" ht="12.75" customHeight="1">
      <c r="A859" s="4">
        <f>DATE(89,4,29)</f>
        <v>32627</v>
      </c>
      <c r="C859" s="2" t="s">
        <v>231</v>
      </c>
      <c r="E859" s="18">
        <v>0</v>
      </c>
      <c r="F859" s="18">
        <v>0</v>
      </c>
      <c r="G859" s="18">
        <v>4</v>
      </c>
      <c r="H859" s="18">
        <v>0</v>
      </c>
      <c r="I859" s="18">
        <v>0</v>
      </c>
      <c r="J859" s="18">
        <v>0</v>
      </c>
      <c r="K859" s="18">
        <v>0</v>
      </c>
      <c r="T859" s="3">
        <v>4</v>
      </c>
      <c r="U859" s="3">
        <v>8</v>
      </c>
      <c r="V859" s="3">
        <v>2</v>
      </c>
      <c r="X859" s="2" t="s">
        <v>1649</v>
      </c>
      <c r="Y859" s="18">
        <v>3</v>
      </c>
      <c r="Z859" s="18">
        <v>0</v>
      </c>
      <c r="AA859" s="18">
        <v>0</v>
      </c>
      <c r="AB859" s="18">
        <v>4</v>
      </c>
      <c r="AC859" s="18">
        <v>1</v>
      </c>
      <c r="AD859" s="18">
        <v>0</v>
      </c>
      <c r="AE859" s="18">
        <v>0</v>
      </c>
      <c r="AN859" s="3">
        <v>8</v>
      </c>
      <c r="AO859" s="3">
        <v>11</v>
      </c>
      <c r="AP859" s="3">
        <v>0</v>
      </c>
      <c r="AR859" s="2" t="s">
        <v>1650</v>
      </c>
    </row>
    <row r="860" spans="1:44" ht="12.75" customHeight="1">
      <c r="A860" s="4">
        <f>DATE(89,4,29)</f>
        <v>32627</v>
      </c>
      <c r="C860" s="2" t="s">
        <v>269</v>
      </c>
      <c r="E860" s="18">
        <v>2</v>
      </c>
      <c r="F860" s="18">
        <v>0</v>
      </c>
      <c r="G860" s="18">
        <v>0</v>
      </c>
      <c r="H860" s="18">
        <v>2</v>
      </c>
      <c r="I860" s="18">
        <v>0</v>
      </c>
      <c r="J860" s="18">
        <v>3</v>
      </c>
      <c r="K860" s="18" t="s">
        <v>162</v>
      </c>
      <c r="T860" s="3">
        <v>7</v>
      </c>
      <c r="U860" s="3">
        <v>5</v>
      </c>
      <c r="V860" s="3">
        <v>0</v>
      </c>
      <c r="X860" s="2" t="s">
        <v>1651</v>
      </c>
      <c r="Y860" s="18">
        <v>2</v>
      </c>
      <c r="Z860" s="18">
        <v>0</v>
      </c>
      <c r="AA860" s="18">
        <v>0</v>
      </c>
      <c r="AB860" s="18">
        <v>0</v>
      </c>
      <c r="AC860" s="18">
        <v>3</v>
      </c>
      <c r="AD860" s="18">
        <v>0</v>
      </c>
      <c r="AE860" s="18">
        <v>1</v>
      </c>
      <c r="AN860" s="3">
        <v>6</v>
      </c>
      <c r="AO860" s="3">
        <v>11</v>
      </c>
      <c r="AP860" s="3">
        <v>2</v>
      </c>
      <c r="AR860" s="2" t="s">
        <v>1652</v>
      </c>
    </row>
    <row r="861" spans="1:44" ht="12.75" customHeight="1">
      <c r="A861" s="4">
        <f>DATE(89,5,4)</f>
        <v>32632</v>
      </c>
      <c r="B861" s="2" t="s">
        <v>152</v>
      </c>
      <c r="C861" s="2" t="s">
        <v>379</v>
      </c>
      <c r="E861" s="18">
        <v>1</v>
      </c>
      <c r="F861" s="18">
        <v>0</v>
      </c>
      <c r="G861" s="18">
        <v>2</v>
      </c>
      <c r="H861" s="18">
        <v>4</v>
      </c>
      <c r="I861" s="18">
        <v>0</v>
      </c>
      <c r="J861" s="18">
        <v>1</v>
      </c>
      <c r="K861" s="18">
        <v>0</v>
      </c>
      <c r="T861" s="3">
        <v>8</v>
      </c>
      <c r="U861" s="3">
        <v>8</v>
      </c>
      <c r="V861" s="3">
        <v>4</v>
      </c>
      <c r="X861" s="2" t="s">
        <v>1653</v>
      </c>
      <c r="Y861" s="18">
        <v>0</v>
      </c>
      <c r="Z861" s="18">
        <v>3</v>
      </c>
      <c r="AA861" s="18">
        <v>0</v>
      </c>
      <c r="AB861" s="18">
        <v>0</v>
      </c>
      <c r="AC861" s="18">
        <v>1</v>
      </c>
      <c r="AD861" s="18">
        <v>1</v>
      </c>
      <c r="AE861" s="18">
        <v>1</v>
      </c>
      <c r="AN861" s="3">
        <v>6</v>
      </c>
      <c r="AO861" s="3">
        <v>10</v>
      </c>
      <c r="AP861" s="3">
        <v>4</v>
      </c>
      <c r="AR861" s="2" t="s">
        <v>1654</v>
      </c>
    </row>
    <row r="862" spans="1:44" ht="12.75" customHeight="1">
      <c r="A862" s="4">
        <f>DATE(89,5,13)</f>
        <v>32641</v>
      </c>
      <c r="C862" s="2" t="s">
        <v>391</v>
      </c>
      <c r="E862" s="18">
        <v>0</v>
      </c>
      <c r="F862" s="18">
        <v>0</v>
      </c>
      <c r="G862" s="18">
        <v>3</v>
      </c>
      <c r="H862" s="18">
        <v>1</v>
      </c>
      <c r="I862" s="18">
        <v>0</v>
      </c>
      <c r="J862" s="18">
        <v>0</v>
      </c>
      <c r="K862" s="18" t="s">
        <v>162</v>
      </c>
      <c r="T862" s="3">
        <v>4</v>
      </c>
      <c r="U862" s="3">
        <v>9</v>
      </c>
      <c r="V862" s="3">
        <v>2</v>
      </c>
      <c r="X862" s="2" t="s">
        <v>1636</v>
      </c>
      <c r="Y862" s="18">
        <v>0</v>
      </c>
      <c r="Z862" s="18">
        <v>0</v>
      </c>
      <c r="AA862" s="18">
        <v>1</v>
      </c>
      <c r="AB862" s="18">
        <v>0</v>
      </c>
      <c r="AC862" s="18">
        <v>2</v>
      </c>
      <c r="AD862" s="18">
        <v>0</v>
      </c>
      <c r="AE862" s="18">
        <v>0</v>
      </c>
      <c r="AN862" s="3">
        <v>3</v>
      </c>
      <c r="AO862" s="3">
        <v>3</v>
      </c>
      <c r="AP862" s="3">
        <v>0</v>
      </c>
      <c r="AR862" s="2" t="s">
        <v>1655</v>
      </c>
    </row>
    <row r="863" spans="1:44" ht="12.75" customHeight="1">
      <c r="A863" s="4">
        <f>DATE(89,5,17)</f>
        <v>32645</v>
      </c>
      <c r="C863" s="2" t="s">
        <v>174</v>
      </c>
      <c r="E863" s="18">
        <v>4</v>
      </c>
      <c r="F863" s="18">
        <v>0</v>
      </c>
      <c r="G863" s="18">
        <v>0</v>
      </c>
      <c r="H863" s="18">
        <v>0</v>
      </c>
      <c r="I863" s="18">
        <v>2</v>
      </c>
      <c r="J863" s="18">
        <v>2</v>
      </c>
      <c r="K863" s="18" t="s">
        <v>162</v>
      </c>
      <c r="T863" s="3">
        <v>8</v>
      </c>
      <c r="U863" s="3">
        <v>5</v>
      </c>
      <c r="V863" s="3">
        <v>0</v>
      </c>
      <c r="X863" s="2" t="s">
        <v>1656</v>
      </c>
      <c r="Y863" s="18">
        <v>2</v>
      </c>
      <c r="Z863" s="18">
        <v>0</v>
      </c>
      <c r="AA863" s="18">
        <v>0</v>
      </c>
      <c r="AB863" s="18">
        <v>0</v>
      </c>
      <c r="AC863" s="18">
        <v>0</v>
      </c>
      <c r="AD863" s="18">
        <v>2</v>
      </c>
      <c r="AE863" s="18">
        <v>0</v>
      </c>
      <c r="AN863" s="3">
        <v>4</v>
      </c>
      <c r="AO863" s="3">
        <v>8</v>
      </c>
      <c r="AP863" s="3">
        <v>3</v>
      </c>
      <c r="AR863" s="2" t="s">
        <v>1642</v>
      </c>
    </row>
    <row r="864" spans="1:44" ht="12.75" customHeight="1">
      <c r="A864" s="4">
        <f>DATE(89,5,19)</f>
        <v>32647</v>
      </c>
      <c r="B864" s="2" t="s">
        <v>152</v>
      </c>
      <c r="C864" s="2" t="s">
        <v>183</v>
      </c>
      <c r="E864" s="18">
        <v>2</v>
      </c>
      <c r="F864" s="18">
        <v>3</v>
      </c>
      <c r="G864" s="18">
        <v>2</v>
      </c>
      <c r="H864" s="18">
        <v>0</v>
      </c>
      <c r="I864" s="18">
        <v>0</v>
      </c>
      <c r="J864" s="18">
        <v>0</v>
      </c>
      <c r="K864" s="18">
        <v>3</v>
      </c>
      <c r="T864" s="3">
        <v>10</v>
      </c>
      <c r="U864" s="3">
        <v>12</v>
      </c>
      <c r="V864" s="3">
        <v>0</v>
      </c>
      <c r="X864" s="2" t="s">
        <v>1636</v>
      </c>
      <c r="Y864" s="18">
        <v>0</v>
      </c>
      <c r="Z864" s="18">
        <v>0</v>
      </c>
      <c r="AA864" s="18">
        <v>0</v>
      </c>
      <c r="AB864" s="18">
        <v>0</v>
      </c>
      <c r="AC864" s="18">
        <v>1</v>
      </c>
      <c r="AD864" s="18">
        <v>0</v>
      </c>
      <c r="AE864" s="18">
        <v>0</v>
      </c>
      <c r="AN864" s="3">
        <v>1</v>
      </c>
      <c r="AO864" s="3">
        <v>2</v>
      </c>
      <c r="AP864" s="3">
        <v>2</v>
      </c>
      <c r="AR864" s="2" t="s">
        <v>1657</v>
      </c>
    </row>
    <row r="865" spans="1:44" ht="12.75" customHeight="1">
      <c r="A865" s="4">
        <f>DATE(89,5,20)</f>
        <v>32648</v>
      </c>
      <c r="C865" s="2" t="s">
        <v>175</v>
      </c>
      <c r="E865" s="18">
        <v>0</v>
      </c>
      <c r="F865" s="18">
        <v>0</v>
      </c>
      <c r="G865" s="18">
        <v>0</v>
      </c>
      <c r="H865" s="18">
        <v>0</v>
      </c>
      <c r="I865" s="18">
        <v>2</v>
      </c>
      <c r="J865" s="18">
        <v>0</v>
      </c>
      <c r="K865" s="18">
        <v>1</v>
      </c>
      <c r="T865" s="3">
        <v>3</v>
      </c>
      <c r="U865" s="3">
        <v>7</v>
      </c>
      <c r="V865" s="3">
        <v>2</v>
      </c>
      <c r="X865" s="2" t="s">
        <v>1658</v>
      </c>
      <c r="Y865" s="18">
        <v>6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3</v>
      </c>
      <c r="AN865" s="3">
        <v>9</v>
      </c>
      <c r="AO865" s="3">
        <v>8</v>
      </c>
      <c r="AP865" s="3">
        <v>0</v>
      </c>
      <c r="AR865" s="2" t="s">
        <v>1659</v>
      </c>
    </row>
    <row r="866" spans="1:44" ht="12.75" customHeight="1">
      <c r="A866" s="4">
        <f>DATE(89,5,22)</f>
        <v>32650</v>
      </c>
      <c r="B866" s="2" t="s">
        <v>152</v>
      </c>
      <c r="C866" s="2" t="s">
        <v>374</v>
      </c>
      <c r="E866" s="18" t="s">
        <v>162</v>
      </c>
      <c r="F866" s="18" t="s">
        <v>162</v>
      </c>
      <c r="G866" s="18" t="s">
        <v>162</v>
      </c>
      <c r="H866" s="18" t="s">
        <v>162</v>
      </c>
      <c r="I866" s="18" t="s">
        <v>162</v>
      </c>
      <c r="J866" s="18" t="s">
        <v>162</v>
      </c>
      <c r="K866" s="18" t="s">
        <v>162</v>
      </c>
      <c r="T866" s="3">
        <v>7</v>
      </c>
      <c r="U866" s="3" t="s">
        <v>162</v>
      </c>
      <c r="V866" s="3" t="s">
        <v>162</v>
      </c>
      <c r="W866" s="3"/>
      <c r="X866" s="2" t="s">
        <v>246</v>
      </c>
      <c r="Y866" s="18" t="s">
        <v>162</v>
      </c>
      <c r="Z866" s="18" t="s">
        <v>162</v>
      </c>
      <c r="AA866" s="18" t="s">
        <v>162</v>
      </c>
      <c r="AB866" s="18" t="s">
        <v>162</v>
      </c>
      <c r="AC866" s="18" t="s">
        <v>162</v>
      </c>
      <c r="AD866" s="18" t="s">
        <v>162</v>
      </c>
      <c r="AE866" s="18" t="s">
        <v>162</v>
      </c>
      <c r="AN866" s="3">
        <v>0</v>
      </c>
      <c r="AO866" s="3" t="s">
        <v>162</v>
      </c>
      <c r="AP866" s="3" t="s">
        <v>162</v>
      </c>
      <c r="AQ866" s="3"/>
      <c r="AR866" s="2" t="s">
        <v>246</v>
      </c>
    </row>
    <row r="867" spans="1:44" ht="12.75" customHeight="1">
      <c r="A867" s="4">
        <f>DATE(89,5,24)</f>
        <v>32652</v>
      </c>
      <c r="B867" s="2" t="s">
        <v>239</v>
      </c>
      <c r="C867" s="2" t="s">
        <v>367</v>
      </c>
      <c r="D867" s="2" t="s">
        <v>258</v>
      </c>
      <c r="E867" s="18">
        <v>0</v>
      </c>
      <c r="F867" s="18">
        <v>1</v>
      </c>
      <c r="G867" s="18">
        <v>0</v>
      </c>
      <c r="H867" s="18">
        <v>2</v>
      </c>
      <c r="I867" s="18">
        <v>3</v>
      </c>
      <c r="J867" s="18">
        <v>0</v>
      </c>
      <c r="K867" s="18" t="s">
        <v>162</v>
      </c>
      <c r="T867" s="3">
        <v>6</v>
      </c>
      <c r="U867" s="3">
        <v>8</v>
      </c>
      <c r="V867" s="3">
        <v>0</v>
      </c>
      <c r="X867" s="2" t="s">
        <v>1656</v>
      </c>
      <c r="Y867" s="18">
        <v>0</v>
      </c>
      <c r="Z867" s="18">
        <v>0</v>
      </c>
      <c r="AA867" s="18">
        <v>0</v>
      </c>
      <c r="AB867" s="18">
        <v>0</v>
      </c>
      <c r="AC867" s="18">
        <v>1</v>
      </c>
      <c r="AD867" s="18">
        <v>0</v>
      </c>
      <c r="AE867" s="18">
        <v>0</v>
      </c>
      <c r="AN867" s="3">
        <v>1</v>
      </c>
      <c r="AO867" s="3">
        <v>5</v>
      </c>
      <c r="AP867" s="3">
        <v>1</v>
      </c>
      <c r="AR867" s="2" t="s">
        <v>1660</v>
      </c>
    </row>
    <row r="868" spans="1:44" ht="12.75" customHeight="1">
      <c r="A868" s="4">
        <f>DATE(89,5,25)</f>
        <v>32653</v>
      </c>
      <c r="B868" s="2" t="s">
        <v>239</v>
      </c>
      <c r="C868" s="2" t="s">
        <v>191</v>
      </c>
      <c r="D868" s="2" t="s">
        <v>258</v>
      </c>
      <c r="E868" s="18">
        <v>1</v>
      </c>
      <c r="F868" s="18">
        <v>0</v>
      </c>
      <c r="G868" s="18">
        <v>3</v>
      </c>
      <c r="H868" s="18">
        <v>0</v>
      </c>
      <c r="I868" s="18">
        <v>1</v>
      </c>
      <c r="J868" s="18">
        <v>0</v>
      </c>
      <c r="K868" s="18">
        <v>0</v>
      </c>
      <c r="T868" s="3">
        <v>5</v>
      </c>
      <c r="U868" s="3">
        <v>8</v>
      </c>
      <c r="V868" s="3">
        <v>0</v>
      </c>
      <c r="X868" s="2" t="s">
        <v>1636</v>
      </c>
      <c r="Y868" s="18">
        <v>3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  <c r="AE868" s="18">
        <v>0</v>
      </c>
      <c r="AN868" s="3">
        <v>3</v>
      </c>
      <c r="AO868" s="3">
        <v>6</v>
      </c>
      <c r="AP868" s="3">
        <v>1</v>
      </c>
      <c r="AR868" s="2" t="s">
        <v>1537</v>
      </c>
    </row>
    <row r="869" spans="1:44" ht="12.75" customHeight="1">
      <c r="A869" s="4">
        <f>DATE(89,6,6)</f>
        <v>32665</v>
      </c>
      <c r="B869" s="2" t="s">
        <v>239</v>
      </c>
      <c r="C869" s="2" t="s">
        <v>393</v>
      </c>
      <c r="D869" s="2" t="s">
        <v>260</v>
      </c>
      <c r="E869" s="18">
        <v>0</v>
      </c>
      <c r="F869" s="18">
        <v>1</v>
      </c>
      <c r="G869" s="18">
        <v>0</v>
      </c>
      <c r="H869" s="18">
        <v>1</v>
      </c>
      <c r="I869" s="18">
        <v>0</v>
      </c>
      <c r="J869" s="18">
        <v>1</v>
      </c>
      <c r="K869" s="18">
        <v>0</v>
      </c>
      <c r="T869" s="3">
        <v>3</v>
      </c>
      <c r="U869" s="3">
        <v>4</v>
      </c>
      <c r="V869" s="3">
        <v>1</v>
      </c>
      <c r="X869" s="2" t="s">
        <v>1636</v>
      </c>
      <c r="Y869" s="18">
        <v>0</v>
      </c>
      <c r="Z869" s="18">
        <v>0</v>
      </c>
      <c r="AA869" s="18">
        <v>0</v>
      </c>
      <c r="AB869" s="18">
        <v>0</v>
      </c>
      <c r="AC869" s="18">
        <v>0</v>
      </c>
      <c r="AD869" s="18">
        <v>1</v>
      </c>
      <c r="AE869" s="18">
        <v>0</v>
      </c>
      <c r="AN869" s="3">
        <v>1</v>
      </c>
      <c r="AO869" s="3">
        <v>4</v>
      </c>
      <c r="AP869" s="3">
        <v>4</v>
      </c>
      <c r="AR869" s="2" t="s">
        <v>1661</v>
      </c>
    </row>
    <row r="870" spans="1:44" ht="12.75" customHeight="1">
      <c r="A870" s="4">
        <f>DATE(89,6,8)</f>
        <v>32667</v>
      </c>
      <c r="B870" s="2" t="s">
        <v>239</v>
      </c>
      <c r="C870" s="2" t="s">
        <v>133</v>
      </c>
      <c r="D870" s="2" t="s">
        <v>260</v>
      </c>
      <c r="E870" s="18">
        <v>0</v>
      </c>
      <c r="F870" s="18">
        <v>0</v>
      </c>
      <c r="G870" s="18">
        <v>2</v>
      </c>
      <c r="H870" s="18">
        <v>2</v>
      </c>
      <c r="I870" s="18">
        <v>1</v>
      </c>
      <c r="J870" s="18">
        <v>0</v>
      </c>
      <c r="K870" s="18">
        <v>0</v>
      </c>
      <c r="T870" s="3">
        <v>5</v>
      </c>
      <c r="U870" s="3">
        <v>10</v>
      </c>
      <c r="V870" s="3">
        <v>2</v>
      </c>
      <c r="X870" s="2" t="s">
        <v>1662</v>
      </c>
      <c r="Y870" s="18">
        <v>0</v>
      </c>
      <c r="Z870" s="18">
        <v>0</v>
      </c>
      <c r="AA870" s="18">
        <v>1</v>
      </c>
      <c r="AB870" s="18">
        <v>0</v>
      </c>
      <c r="AC870" s="18">
        <v>3</v>
      </c>
      <c r="AD870" s="18">
        <v>8</v>
      </c>
      <c r="AE870" s="18" t="s">
        <v>162</v>
      </c>
      <c r="AN870" s="3">
        <v>12</v>
      </c>
      <c r="AO870" s="3">
        <v>10</v>
      </c>
      <c r="AP870" s="3">
        <v>3</v>
      </c>
      <c r="AR870" s="2" t="s">
        <v>1664</v>
      </c>
    </row>
    <row r="871" ht="12.75" customHeight="1">
      <c r="A871" s="4"/>
    </row>
    <row r="872" spans="1:45" ht="12.75" customHeight="1">
      <c r="A872" s="4">
        <f>DATE(90,3,28)</f>
        <v>32960</v>
      </c>
      <c r="B872" s="2" t="s">
        <v>152</v>
      </c>
      <c r="C872" s="2" t="s">
        <v>626</v>
      </c>
      <c r="E872" s="18">
        <v>2</v>
      </c>
      <c r="F872" s="18">
        <v>0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T872" s="3">
        <v>2</v>
      </c>
      <c r="U872" s="3">
        <v>7</v>
      </c>
      <c r="V872" s="3">
        <v>1</v>
      </c>
      <c r="X872" s="2" t="s">
        <v>1665</v>
      </c>
      <c r="Y872" s="18">
        <v>0</v>
      </c>
      <c r="Z872" s="18">
        <v>0</v>
      </c>
      <c r="AA872" s="18">
        <v>2</v>
      </c>
      <c r="AB872" s="18">
        <v>0</v>
      </c>
      <c r="AC872" s="18">
        <v>0</v>
      </c>
      <c r="AD872" s="18">
        <v>0</v>
      </c>
      <c r="AE872" s="18">
        <v>1</v>
      </c>
      <c r="AN872" s="3">
        <v>3</v>
      </c>
      <c r="AO872" s="3">
        <v>1</v>
      </c>
      <c r="AP872" s="3">
        <v>1</v>
      </c>
      <c r="AR872" s="2" t="s">
        <v>1666</v>
      </c>
      <c r="AS872" s="2" t="s">
        <v>1040</v>
      </c>
    </row>
    <row r="873" spans="1:46" ht="12.75" customHeight="1">
      <c r="A873" s="4">
        <f>DATE(90,4,5)</f>
        <v>32968</v>
      </c>
      <c r="B873" s="2" t="s">
        <v>152</v>
      </c>
      <c r="C873" s="2" t="s">
        <v>305</v>
      </c>
      <c r="E873" s="18">
        <v>1</v>
      </c>
      <c r="F873" s="18">
        <v>0</v>
      </c>
      <c r="G873" s="18">
        <v>3</v>
      </c>
      <c r="H873" s="18">
        <v>4</v>
      </c>
      <c r="I873" s="18">
        <v>1</v>
      </c>
      <c r="J873" s="18">
        <v>3</v>
      </c>
      <c r="T873" s="3">
        <v>12</v>
      </c>
      <c r="U873" s="3">
        <v>14</v>
      </c>
      <c r="V873" s="3">
        <v>2</v>
      </c>
      <c r="X873" s="2" t="s">
        <v>1667</v>
      </c>
      <c r="Y873" s="18">
        <v>0</v>
      </c>
      <c r="Z873" s="18">
        <v>0</v>
      </c>
      <c r="AA873" s="18">
        <v>0</v>
      </c>
      <c r="AB873" s="18">
        <v>2</v>
      </c>
      <c r="AC873" s="18">
        <v>0</v>
      </c>
      <c r="AD873" s="18">
        <v>0</v>
      </c>
      <c r="AN873" s="3">
        <v>2</v>
      </c>
      <c r="AO873" s="3">
        <v>1</v>
      </c>
      <c r="AP873" s="3">
        <v>4</v>
      </c>
      <c r="AR873" s="2" t="s">
        <v>1668</v>
      </c>
      <c r="AS873" s="2" t="s">
        <v>134</v>
      </c>
      <c r="AT873" s="2">
        <v>6</v>
      </c>
    </row>
    <row r="874" spans="1:45" ht="12.75" customHeight="1">
      <c r="A874" s="4">
        <f>DATE(90,4,9)</f>
        <v>32972</v>
      </c>
      <c r="C874" s="2" t="s">
        <v>236</v>
      </c>
      <c r="E874" s="18">
        <v>2</v>
      </c>
      <c r="F874" s="18">
        <v>0</v>
      </c>
      <c r="G874" s="18">
        <v>2</v>
      </c>
      <c r="H874" s="18">
        <v>1</v>
      </c>
      <c r="I874" s="18">
        <v>1</v>
      </c>
      <c r="J874" s="18">
        <v>3</v>
      </c>
      <c r="K874" s="18" t="s">
        <v>162</v>
      </c>
      <c r="T874" s="3">
        <v>9</v>
      </c>
      <c r="U874" s="3">
        <v>13</v>
      </c>
      <c r="V874" s="3">
        <v>2</v>
      </c>
      <c r="X874" s="2" t="s">
        <v>1669</v>
      </c>
      <c r="Y874" s="18">
        <v>0</v>
      </c>
      <c r="Z874" s="18">
        <v>0</v>
      </c>
      <c r="AA874" s="18">
        <v>1</v>
      </c>
      <c r="AB874" s="18">
        <v>0</v>
      </c>
      <c r="AC874" s="18">
        <v>0</v>
      </c>
      <c r="AD874" s="18">
        <v>0</v>
      </c>
      <c r="AE874" s="18">
        <v>0</v>
      </c>
      <c r="AN874" s="3">
        <v>1</v>
      </c>
      <c r="AO874" s="3">
        <v>1</v>
      </c>
      <c r="AP874" s="3">
        <v>4</v>
      </c>
      <c r="AR874" s="2" t="s">
        <v>1685</v>
      </c>
      <c r="AS874" s="2" t="s">
        <v>1102</v>
      </c>
    </row>
    <row r="875" spans="1:44" ht="12.75" customHeight="1">
      <c r="A875" s="4">
        <f>DATE(90,4,12)</f>
        <v>32975</v>
      </c>
      <c r="C875" s="2" t="s">
        <v>379</v>
      </c>
      <c r="E875" s="18">
        <v>3</v>
      </c>
      <c r="F875" s="18">
        <v>0</v>
      </c>
      <c r="G875" s="18">
        <v>1</v>
      </c>
      <c r="H875" s="18">
        <v>0</v>
      </c>
      <c r="I875" s="18">
        <v>0</v>
      </c>
      <c r="J875" s="18">
        <v>3</v>
      </c>
      <c r="K875" s="18" t="s">
        <v>162</v>
      </c>
      <c r="T875" s="3">
        <v>7</v>
      </c>
      <c r="U875" s="3">
        <v>12</v>
      </c>
      <c r="V875" s="3">
        <v>2</v>
      </c>
      <c r="X875" s="2" t="s">
        <v>1636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  <c r="AD875" s="18">
        <v>2</v>
      </c>
      <c r="AE875" s="18">
        <v>1</v>
      </c>
      <c r="AN875" s="3">
        <v>3</v>
      </c>
      <c r="AO875" s="3">
        <v>5</v>
      </c>
      <c r="AP875" s="3">
        <v>1</v>
      </c>
      <c r="AR875" s="2" t="s">
        <v>1686</v>
      </c>
    </row>
    <row r="876" spans="1:44" ht="12.75" customHeight="1">
      <c r="A876" s="4">
        <f>DATE(90,4,16)</f>
        <v>32979</v>
      </c>
      <c r="B876" s="2" t="s">
        <v>152</v>
      </c>
      <c r="C876" s="2" t="s">
        <v>175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0</v>
      </c>
      <c r="T876" s="3">
        <v>0</v>
      </c>
      <c r="U876" s="3">
        <v>2</v>
      </c>
      <c r="V876" s="3">
        <v>3</v>
      </c>
      <c r="X876" s="2" t="s">
        <v>1687</v>
      </c>
      <c r="Y876" s="18">
        <v>0</v>
      </c>
      <c r="Z876" s="18">
        <v>1</v>
      </c>
      <c r="AA876" s="18">
        <v>0</v>
      </c>
      <c r="AB876" s="18">
        <v>0</v>
      </c>
      <c r="AC876" s="18">
        <v>0</v>
      </c>
      <c r="AD876" s="18">
        <v>0</v>
      </c>
      <c r="AE876" s="18" t="s">
        <v>162</v>
      </c>
      <c r="AN876" s="3">
        <v>1</v>
      </c>
      <c r="AO876" s="3">
        <v>3</v>
      </c>
      <c r="AP876" s="3">
        <v>2</v>
      </c>
      <c r="AR876" s="2" t="s">
        <v>1688</v>
      </c>
    </row>
    <row r="877" spans="1:44" ht="12.75" customHeight="1">
      <c r="A877" s="4">
        <f>DATE(90,4,18)</f>
        <v>32981</v>
      </c>
      <c r="C877" s="2" t="s">
        <v>269</v>
      </c>
      <c r="E877" s="18">
        <v>1</v>
      </c>
      <c r="F877" s="18">
        <v>1</v>
      </c>
      <c r="G877" s="18">
        <v>0</v>
      </c>
      <c r="H877" s="18">
        <v>5</v>
      </c>
      <c r="I877" s="18">
        <v>7</v>
      </c>
      <c r="T877" s="3">
        <v>14</v>
      </c>
      <c r="U877" s="3">
        <v>12</v>
      </c>
      <c r="V877" s="3">
        <v>4</v>
      </c>
      <c r="X877" s="2" t="s">
        <v>1689</v>
      </c>
      <c r="Y877" s="18">
        <v>2</v>
      </c>
      <c r="Z877" s="18">
        <v>0</v>
      </c>
      <c r="AA877" s="18">
        <v>0</v>
      </c>
      <c r="AB877" s="18">
        <v>0</v>
      </c>
      <c r="AC877" s="18">
        <v>2</v>
      </c>
      <c r="AN877" s="3">
        <v>4</v>
      </c>
      <c r="AO877" s="3">
        <v>5</v>
      </c>
      <c r="AP877" s="3">
        <v>2</v>
      </c>
      <c r="AR877" s="2" t="s">
        <v>1690</v>
      </c>
    </row>
    <row r="878" spans="1:44" ht="12.75" customHeight="1">
      <c r="A878" s="4">
        <f>DATE(90,4,19)</f>
        <v>32982</v>
      </c>
      <c r="B878" s="2" t="s">
        <v>152</v>
      </c>
      <c r="C878" s="2" t="s">
        <v>174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1</v>
      </c>
      <c r="K878" s="18">
        <v>0</v>
      </c>
      <c r="L878" s="18">
        <v>1</v>
      </c>
      <c r="T878" s="3">
        <v>2</v>
      </c>
      <c r="U878" s="3">
        <v>3</v>
      </c>
      <c r="V878" s="3">
        <v>5</v>
      </c>
      <c r="X878" s="2" t="s">
        <v>1691</v>
      </c>
      <c r="Y878" s="18">
        <v>0</v>
      </c>
      <c r="Z878" s="18">
        <v>0</v>
      </c>
      <c r="AA878" s="18">
        <v>0</v>
      </c>
      <c r="AB878" s="18">
        <v>0</v>
      </c>
      <c r="AC878" s="18">
        <v>1</v>
      </c>
      <c r="AD878" s="18">
        <v>0</v>
      </c>
      <c r="AE878" s="18">
        <v>0</v>
      </c>
      <c r="AF878" s="18">
        <v>0</v>
      </c>
      <c r="AN878" s="3">
        <v>1</v>
      </c>
      <c r="AO878" s="3">
        <v>4</v>
      </c>
      <c r="AP878" s="3">
        <v>2</v>
      </c>
      <c r="AR878" s="2" t="s">
        <v>1692</v>
      </c>
    </row>
    <row r="879" spans="1:44" ht="12.75" customHeight="1">
      <c r="A879" s="4">
        <f>DATE(90,4,23)</f>
        <v>32986</v>
      </c>
      <c r="C879" s="2" t="s">
        <v>374</v>
      </c>
      <c r="E879" s="18">
        <v>0</v>
      </c>
      <c r="F879" s="18">
        <v>0</v>
      </c>
      <c r="G879" s="18">
        <v>7</v>
      </c>
      <c r="H879" s="18">
        <v>0</v>
      </c>
      <c r="I879" s="18">
        <v>3</v>
      </c>
      <c r="T879" s="3">
        <v>10</v>
      </c>
      <c r="U879" s="3">
        <v>9</v>
      </c>
      <c r="V879" s="3">
        <v>2</v>
      </c>
      <c r="X879" s="2" t="s">
        <v>1689</v>
      </c>
      <c r="Y879" s="18">
        <v>0</v>
      </c>
      <c r="Z879" s="18">
        <v>0</v>
      </c>
      <c r="AA879" s="18">
        <v>0</v>
      </c>
      <c r="AB879" s="18">
        <v>0</v>
      </c>
      <c r="AC879" s="18">
        <v>0</v>
      </c>
      <c r="AN879" s="3">
        <v>0</v>
      </c>
      <c r="AO879" s="3">
        <v>1</v>
      </c>
      <c r="AP879" s="3">
        <v>2</v>
      </c>
      <c r="AR879" s="2" t="s">
        <v>1693</v>
      </c>
    </row>
    <row r="880" spans="1:44" ht="12.75" customHeight="1">
      <c r="A880" s="4">
        <f>DATE(90,4,25)</f>
        <v>32988</v>
      </c>
      <c r="C880" s="2" t="s">
        <v>236</v>
      </c>
      <c r="E880" s="18">
        <v>1</v>
      </c>
      <c r="F880" s="18">
        <v>0</v>
      </c>
      <c r="G880" s="18">
        <v>0</v>
      </c>
      <c r="H880" s="18">
        <v>3</v>
      </c>
      <c r="I880" s="18">
        <v>2</v>
      </c>
      <c r="J880" s="18">
        <v>0</v>
      </c>
      <c r="K880" s="18">
        <v>0</v>
      </c>
      <c r="T880" s="3">
        <v>6</v>
      </c>
      <c r="U880" s="3">
        <v>5</v>
      </c>
      <c r="V880" s="3">
        <v>0</v>
      </c>
      <c r="X880" s="2" t="s">
        <v>1636</v>
      </c>
      <c r="Y880" s="18">
        <v>0</v>
      </c>
      <c r="Z880" s="18">
        <v>0</v>
      </c>
      <c r="AA880" s="18">
        <v>0</v>
      </c>
      <c r="AB880" s="18">
        <v>0</v>
      </c>
      <c r="AC880" s="18">
        <v>0</v>
      </c>
      <c r="AD880" s="18">
        <v>1</v>
      </c>
      <c r="AE880" s="18">
        <v>0</v>
      </c>
      <c r="AN880" s="3">
        <v>1</v>
      </c>
      <c r="AO880" s="3">
        <v>2</v>
      </c>
      <c r="AP880" s="3">
        <v>6</v>
      </c>
      <c r="AR880" s="2" t="s">
        <v>1694</v>
      </c>
    </row>
    <row r="881" spans="1:44" ht="12.75" customHeight="1">
      <c r="A881" s="4">
        <f>DATE(90,4,27)</f>
        <v>32990</v>
      </c>
      <c r="C881" s="2" t="s">
        <v>305</v>
      </c>
      <c r="E881" s="18">
        <v>0</v>
      </c>
      <c r="F881" s="18">
        <v>0</v>
      </c>
      <c r="G881" s="18">
        <v>0</v>
      </c>
      <c r="H881" s="18">
        <v>3</v>
      </c>
      <c r="I881" s="18">
        <v>2</v>
      </c>
      <c r="J881" s="18">
        <v>0</v>
      </c>
      <c r="K881" s="18">
        <v>0</v>
      </c>
      <c r="T881" s="3">
        <v>5</v>
      </c>
      <c r="U881" s="3">
        <v>15</v>
      </c>
      <c r="V881" s="3">
        <v>3</v>
      </c>
      <c r="X881" s="2" t="s">
        <v>1695</v>
      </c>
      <c r="Y881" s="18">
        <v>1</v>
      </c>
      <c r="Z881" s="18">
        <v>0</v>
      </c>
      <c r="AA881" s="18">
        <v>0</v>
      </c>
      <c r="AB881" s="18">
        <v>4</v>
      </c>
      <c r="AC881" s="18">
        <v>0</v>
      </c>
      <c r="AD881" s="18">
        <v>1</v>
      </c>
      <c r="AE881" s="18">
        <v>1</v>
      </c>
      <c r="AN881" s="3">
        <v>7</v>
      </c>
      <c r="AO881" s="3">
        <v>9</v>
      </c>
      <c r="AP881" s="3">
        <v>1</v>
      </c>
      <c r="AR881" s="2" t="s">
        <v>1696</v>
      </c>
    </row>
    <row r="882" spans="1:44" ht="12.75" customHeight="1">
      <c r="A882" s="4">
        <f>DATE(90,4,28)</f>
        <v>32991</v>
      </c>
      <c r="B882" s="2" t="s">
        <v>152</v>
      </c>
      <c r="C882" s="2" t="s">
        <v>367</v>
      </c>
      <c r="E882" s="18">
        <v>0</v>
      </c>
      <c r="F882" s="18">
        <v>7</v>
      </c>
      <c r="G882" s="18">
        <v>3</v>
      </c>
      <c r="H882" s="18">
        <v>1</v>
      </c>
      <c r="I882" s="18">
        <v>1</v>
      </c>
      <c r="T882" s="3">
        <v>12</v>
      </c>
      <c r="U882" s="3">
        <v>7</v>
      </c>
      <c r="V882" s="3">
        <v>0</v>
      </c>
      <c r="X882" s="2" t="s">
        <v>1697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N882" s="3">
        <v>0</v>
      </c>
      <c r="AO882" s="3">
        <v>2</v>
      </c>
      <c r="AP882" s="3">
        <v>1</v>
      </c>
      <c r="AR882" s="2" t="s">
        <v>1698</v>
      </c>
    </row>
    <row r="883" spans="1:44" ht="12.75" customHeight="1">
      <c r="A883" s="4">
        <f>DATE(90,5,1)</f>
        <v>32994</v>
      </c>
      <c r="C883" s="2" t="s">
        <v>175</v>
      </c>
      <c r="E883" s="18">
        <v>0</v>
      </c>
      <c r="F883" s="18">
        <v>0</v>
      </c>
      <c r="G883" s="18">
        <v>0</v>
      </c>
      <c r="H883" s="18">
        <v>0</v>
      </c>
      <c r="I883" s="18">
        <v>1</v>
      </c>
      <c r="J883" s="18">
        <v>0</v>
      </c>
      <c r="K883" s="18" t="s">
        <v>162</v>
      </c>
      <c r="T883" s="3">
        <v>1</v>
      </c>
      <c r="U883" s="3">
        <v>7</v>
      </c>
      <c r="V883" s="3">
        <v>1</v>
      </c>
      <c r="X883" s="2" t="s">
        <v>1636</v>
      </c>
      <c r="Y883" s="18">
        <v>0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  <c r="AE883" s="18">
        <v>0</v>
      </c>
      <c r="AN883" s="3">
        <v>0</v>
      </c>
      <c r="AO883" s="3">
        <v>0</v>
      </c>
      <c r="AP883" s="3">
        <v>0</v>
      </c>
      <c r="AR883" s="2" t="s">
        <v>1699</v>
      </c>
    </row>
    <row r="884" spans="1:44" ht="12.75" customHeight="1">
      <c r="A884" s="4">
        <f>DATE(90,5,3)</f>
        <v>32996</v>
      </c>
      <c r="B884" s="2" t="s">
        <v>152</v>
      </c>
      <c r="C884" s="2" t="s">
        <v>379</v>
      </c>
      <c r="E884" s="18">
        <v>2</v>
      </c>
      <c r="F884" s="18">
        <v>0</v>
      </c>
      <c r="G884" s="18">
        <v>2</v>
      </c>
      <c r="H884" s="18">
        <v>7</v>
      </c>
      <c r="I884" s="18">
        <v>0</v>
      </c>
      <c r="J884" s="18">
        <v>0</v>
      </c>
      <c r="K884" s="18">
        <v>2</v>
      </c>
      <c r="T884" s="3">
        <v>13</v>
      </c>
      <c r="U884" s="3">
        <v>19</v>
      </c>
      <c r="V884" s="3">
        <v>4</v>
      </c>
      <c r="X884" s="2" t="s">
        <v>1700</v>
      </c>
      <c r="Y884" s="18">
        <v>2</v>
      </c>
      <c r="Z884" s="18">
        <v>0</v>
      </c>
      <c r="AA884" s="18">
        <v>3</v>
      </c>
      <c r="AB884" s="18">
        <v>0</v>
      </c>
      <c r="AC884" s="18">
        <v>1</v>
      </c>
      <c r="AD884" s="18">
        <v>0</v>
      </c>
      <c r="AE884" s="18">
        <v>0</v>
      </c>
      <c r="AN884" s="3">
        <v>6</v>
      </c>
      <c r="AO884" s="3">
        <v>6</v>
      </c>
      <c r="AP884" s="3">
        <v>1</v>
      </c>
      <c r="AR884" s="2" t="s">
        <v>1701</v>
      </c>
    </row>
    <row r="885" spans="1:44" ht="12.75" customHeight="1">
      <c r="A885" s="4">
        <f>DATE(90,5,5)</f>
        <v>32998</v>
      </c>
      <c r="C885" s="2" t="s">
        <v>183</v>
      </c>
      <c r="E885" s="18">
        <v>0</v>
      </c>
      <c r="F885" s="18">
        <v>0</v>
      </c>
      <c r="G885" s="18">
        <v>0</v>
      </c>
      <c r="H885" s="18">
        <v>1</v>
      </c>
      <c r="I885" s="18">
        <v>0</v>
      </c>
      <c r="J885" s="18">
        <v>2</v>
      </c>
      <c r="K885" s="18" t="s">
        <v>162</v>
      </c>
      <c r="T885" s="3">
        <v>3</v>
      </c>
      <c r="U885" s="3">
        <v>5</v>
      </c>
      <c r="V885" s="3">
        <v>1</v>
      </c>
      <c r="X885" s="2" t="s">
        <v>1636</v>
      </c>
      <c r="Y885" s="18">
        <v>2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0</v>
      </c>
      <c r="AN885" s="3">
        <v>2</v>
      </c>
      <c r="AO885" s="3">
        <v>5</v>
      </c>
      <c r="AP885" s="3">
        <v>2</v>
      </c>
      <c r="AR885" s="2" t="s">
        <v>1702</v>
      </c>
    </row>
    <row r="886" spans="1:44" ht="12.75" customHeight="1">
      <c r="A886" s="4">
        <f>DATE(90,5,7)</f>
        <v>33000</v>
      </c>
      <c r="C886" s="2" t="s">
        <v>192</v>
      </c>
      <c r="E886" s="18">
        <v>1</v>
      </c>
      <c r="F886" s="18">
        <v>2</v>
      </c>
      <c r="G886" s="18">
        <v>0</v>
      </c>
      <c r="H886" s="18">
        <v>13</v>
      </c>
      <c r="I886" s="18" t="s">
        <v>162</v>
      </c>
      <c r="T886" s="3">
        <v>16</v>
      </c>
      <c r="U886" s="3">
        <v>11</v>
      </c>
      <c r="V886" s="3">
        <v>1</v>
      </c>
      <c r="X886" s="2" t="s">
        <v>1703</v>
      </c>
      <c r="Y886" s="18">
        <v>0</v>
      </c>
      <c r="Z886" s="18">
        <v>0</v>
      </c>
      <c r="AA886" s="18">
        <v>2</v>
      </c>
      <c r="AB886" s="18">
        <v>0</v>
      </c>
      <c r="AC886" s="18">
        <v>0</v>
      </c>
      <c r="AN886" s="3">
        <v>2</v>
      </c>
      <c r="AO886" s="3">
        <v>3</v>
      </c>
      <c r="AP886" s="3">
        <v>5</v>
      </c>
      <c r="AR886" s="2" t="s">
        <v>1704</v>
      </c>
    </row>
    <row r="887" spans="1:44" ht="12.75" customHeight="1">
      <c r="A887" s="4">
        <f>DATE(90,5,9)</f>
        <v>33002</v>
      </c>
      <c r="B887" s="2" t="s">
        <v>152</v>
      </c>
      <c r="C887" s="2" t="s">
        <v>191</v>
      </c>
      <c r="E887" s="18">
        <v>1</v>
      </c>
      <c r="F887" s="18">
        <v>0</v>
      </c>
      <c r="G887" s="18">
        <v>0</v>
      </c>
      <c r="H887" s="18">
        <v>0</v>
      </c>
      <c r="I887" s="18">
        <v>2</v>
      </c>
      <c r="J887" s="18">
        <v>0</v>
      </c>
      <c r="K887" s="18">
        <v>0</v>
      </c>
      <c r="T887" s="3">
        <v>3</v>
      </c>
      <c r="U887" s="3">
        <v>6</v>
      </c>
      <c r="V887" s="3">
        <v>2</v>
      </c>
      <c r="X887" s="2" t="s">
        <v>1705</v>
      </c>
      <c r="Y887" s="18">
        <v>1</v>
      </c>
      <c r="Z887" s="18">
        <v>0</v>
      </c>
      <c r="AA887" s="18">
        <v>0</v>
      </c>
      <c r="AB887" s="18">
        <v>3</v>
      </c>
      <c r="AC887" s="18">
        <v>2</v>
      </c>
      <c r="AD887" s="18">
        <v>0</v>
      </c>
      <c r="AE887" s="18" t="s">
        <v>162</v>
      </c>
      <c r="AN887" s="3">
        <v>6</v>
      </c>
      <c r="AO887" s="3">
        <v>10</v>
      </c>
      <c r="AP887" s="3">
        <v>0</v>
      </c>
      <c r="AR887" s="2" t="s">
        <v>1706</v>
      </c>
    </row>
    <row r="888" spans="1:44" ht="12.75" customHeight="1">
      <c r="A888" s="4">
        <f>DATE(90,5,18)</f>
        <v>33011</v>
      </c>
      <c r="C888" s="2" t="s">
        <v>174</v>
      </c>
      <c r="E888" s="18">
        <v>0</v>
      </c>
      <c r="F888" s="18">
        <v>0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T888" s="3">
        <v>0</v>
      </c>
      <c r="U888" s="3">
        <v>1</v>
      </c>
      <c r="V888" s="3">
        <v>1</v>
      </c>
      <c r="X888" s="2" t="s">
        <v>1707</v>
      </c>
      <c r="Y888" s="18">
        <v>0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  <c r="AE888" s="18">
        <v>0</v>
      </c>
      <c r="AF888" s="18">
        <v>1</v>
      </c>
      <c r="AN888" s="3">
        <v>1</v>
      </c>
      <c r="AO888" s="3">
        <v>5</v>
      </c>
      <c r="AP888" s="3">
        <v>0</v>
      </c>
      <c r="AR888" s="2" t="s">
        <v>1692</v>
      </c>
    </row>
    <row r="889" spans="1:44" ht="12.75" customHeight="1">
      <c r="A889" s="4">
        <f>DATE(90,5,19)</f>
        <v>33012</v>
      </c>
      <c r="B889" s="2" t="s">
        <v>152</v>
      </c>
      <c r="C889" s="2" t="s">
        <v>374</v>
      </c>
      <c r="E889" s="18">
        <v>0</v>
      </c>
      <c r="F889" s="18">
        <v>4</v>
      </c>
      <c r="G889" s="18">
        <v>2</v>
      </c>
      <c r="H889" s="18">
        <v>5</v>
      </c>
      <c r="I889" s="18">
        <v>0</v>
      </c>
      <c r="T889" s="3">
        <v>11</v>
      </c>
      <c r="U889" s="3">
        <v>11</v>
      </c>
      <c r="V889" s="3">
        <v>0</v>
      </c>
      <c r="X889" s="2" t="s">
        <v>1697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  <c r="AN889" s="3">
        <v>0</v>
      </c>
      <c r="AO889" s="3">
        <v>4</v>
      </c>
      <c r="AP889" s="3">
        <v>3</v>
      </c>
      <c r="AR889" s="2" t="s">
        <v>1708</v>
      </c>
    </row>
    <row r="890" spans="1:44" ht="12.75" customHeight="1">
      <c r="A890" s="4">
        <f>DATE(90,5,24)</f>
        <v>33017</v>
      </c>
      <c r="C890" s="2" t="s">
        <v>183</v>
      </c>
      <c r="D890" s="2" t="s">
        <v>258</v>
      </c>
      <c r="E890" s="18">
        <v>0</v>
      </c>
      <c r="F890" s="18">
        <v>0</v>
      </c>
      <c r="G890" s="18">
        <v>1</v>
      </c>
      <c r="H890" s="18">
        <v>0</v>
      </c>
      <c r="I890" s="18">
        <v>0</v>
      </c>
      <c r="J890" s="18">
        <v>4</v>
      </c>
      <c r="K890" s="18" t="s">
        <v>162</v>
      </c>
      <c r="T890" s="3">
        <v>5</v>
      </c>
      <c r="U890" s="3">
        <v>10</v>
      </c>
      <c r="V890" s="3">
        <v>1</v>
      </c>
      <c r="X890" s="2" t="s">
        <v>1665</v>
      </c>
      <c r="Y890" s="18">
        <v>1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2</v>
      </c>
      <c r="AN890" s="3">
        <v>3</v>
      </c>
      <c r="AO890" s="3">
        <v>0</v>
      </c>
      <c r="AP890" s="3">
        <v>0</v>
      </c>
      <c r="AR890" s="2" t="s">
        <v>1702</v>
      </c>
    </row>
    <row r="891" spans="1:44" ht="12.75" customHeight="1">
      <c r="A891" s="4">
        <f>DATE(90,5,30)</f>
        <v>33023</v>
      </c>
      <c r="C891" s="2" t="s">
        <v>191</v>
      </c>
      <c r="D891" s="2" t="s">
        <v>258</v>
      </c>
      <c r="E891" s="18">
        <v>0</v>
      </c>
      <c r="F891" s="18">
        <v>0</v>
      </c>
      <c r="G891" s="18">
        <v>1</v>
      </c>
      <c r="H891" s="18">
        <v>0</v>
      </c>
      <c r="I891" s="18">
        <v>0</v>
      </c>
      <c r="J891" s="18">
        <v>1</v>
      </c>
      <c r="K891" s="18">
        <v>1</v>
      </c>
      <c r="L891" s="18">
        <v>1</v>
      </c>
      <c r="T891" s="3">
        <v>4</v>
      </c>
      <c r="U891" s="3">
        <v>8</v>
      </c>
      <c r="V891" s="3">
        <v>1</v>
      </c>
      <c r="X891" s="2" t="s">
        <v>1691</v>
      </c>
      <c r="Y891" s="18">
        <v>0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  <c r="AE891" s="18">
        <v>3</v>
      </c>
      <c r="AF891" s="18">
        <v>0</v>
      </c>
      <c r="AN891" s="3">
        <v>3</v>
      </c>
      <c r="AO891" s="3">
        <v>5</v>
      </c>
      <c r="AP891" s="3">
        <v>3</v>
      </c>
      <c r="AR891" s="2" t="s">
        <v>1709</v>
      </c>
    </row>
    <row r="892" spans="1:44" ht="12.75" customHeight="1">
      <c r="A892" s="4">
        <f>DATE(90,6,5)</f>
        <v>33029</v>
      </c>
      <c r="C892" s="2" t="s">
        <v>393</v>
      </c>
      <c r="D892" s="2" t="s">
        <v>260</v>
      </c>
      <c r="E892" s="18">
        <v>0</v>
      </c>
      <c r="F892" s="18">
        <v>0</v>
      </c>
      <c r="G892" s="18">
        <v>0</v>
      </c>
      <c r="H892" s="18">
        <v>3</v>
      </c>
      <c r="I892" s="18">
        <v>1</v>
      </c>
      <c r="J892" s="18">
        <v>1</v>
      </c>
      <c r="K892" s="18" t="s">
        <v>162</v>
      </c>
      <c r="T892" s="3">
        <v>5</v>
      </c>
      <c r="U892" s="3">
        <v>10</v>
      </c>
      <c r="V892" s="3">
        <v>1</v>
      </c>
      <c r="X892" s="2" t="s">
        <v>1636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  <c r="AD892" s="18">
        <v>2</v>
      </c>
      <c r="AE892" s="18">
        <v>0</v>
      </c>
      <c r="AN892" s="3">
        <v>2</v>
      </c>
      <c r="AO892" s="3">
        <v>2</v>
      </c>
      <c r="AP892" s="3">
        <v>1</v>
      </c>
      <c r="AR892" s="2" t="s">
        <v>1710</v>
      </c>
    </row>
    <row r="893" spans="1:44" ht="12.75" customHeight="1">
      <c r="A893" s="4">
        <f>DATE(90,6,11)</f>
        <v>33035</v>
      </c>
      <c r="B893" s="2" t="s">
        <v>239</v>
      </c>
      <c r="C893" s="2" t="s">
        <v>135</v>
      </c>
      <c r="D893" s="2" t="s">
        <v>260</v>
      </c>
      <c r="E893" s="18">
        <v>0</v>
      </c>
      <c r="F893" s="18">
        <v>2</v>
      </c>
      <c r="G893" s="18">
        <v>0</v>
      </c>
      <c r="H893" s="18">
        <v>0</v>
      </c>
      <c r="I893" s="18">
        <v>0</v>
      </c>
      <c r="J893" s="18">
        <v>3</v>
      </c>
      <c r="K893" s="18" t="s">
        <v>162</v>
      </c>
      <c r="T893" s="3">
        <v>5</v>
      </c>
      <c r="U893" s="3">
        <v>8</v>
      </c>
      <c r="V893" s="3">
        <v>2</v>
      </c>
      <c r="X893" s="2" t="s">
        <v>1636</v>
      </c>
      <c r="Y893" s="18">
        <v>1</v>
      </c>
      <c r="Z893" s="18">
        <v>1</v>
      </c>
      <c r="AA893" s="18">
        <v>0</v>
      </c>
      <c r="AB893" s="18">
        <v>2</v>
      </c>
      <c r="AC893" s="18">
        <v>0</v>
      </c>
      <c r="AD893" s="18">
        <v>0</v>
      </c>
      <c r="AE893" s="18">
        <v>0</v>
      </c>
      <c r="AN893" s="3">
        <v>4</v>
      </c>
      <c r="AO893" s="3">
        <v>5</v>
      </c>
      <c r="AP893" s="3">
        <v>3</v>
      </c>
      <c r="AR893" s="2" t="s">
        <v>1711</v>
      </c>
    </row>
    <row r="894" spans="1:44" ht="12.75" customHeight="1">
      <c r="A894" s="4">
        <f>DATE(90,6,12)</f>
        <v>33036</v>
      </c>
      <c r="B894" s="2" t="s">
        <v>239</v>
      </c>
      <c r="C894" s="2" t="s">
        <v>392</v>
      </c>
      <c r="D894" s="2" t="s">
        <v>260</v>
      </c>
      <c r="E894" s="18">
        <v>0</v>
      </c>
      <c r="F894" s="18">
        <v>0</v>
      </c>
      <c r="G894" s="18">
        <v>0</v>
      </c>
      <c r="H894" s="18">
        <v>0</v>
      </c>
      <c r="I894" s="18">
        <v>0</v>
      </c>
      <c r="J894" s="18">
        <v>3</v>
      </c>
      <c r="K894" s="18">
        <v>0</v>
      </c>
      <c r="T894" s="3">
        <v>3</v>
      </c>
      <c r="U894" s="3">
        <v>5</v>
      </c>
      <c r="V894" s="3">
        <v>2</v>
      </c>
      <c r="X894" s="2" t="s">
        <v>1712</v>
      </c>
      <c r="Y894" s="18">
        <v>0</v>
      </c>
      <c r="Z894" s="18">
        <v>4</v>
      </c>
      <c r="AA894" s="18">
        <v>0</v>
      </c>
      <c r="AB894" s="18">
        <v>1</v>
      </c>
      <c r="AC894" s="18">
        <v>4</v>
      </c>
      <c r="AD894" s="18">
        <v>0</v>
      </c>
      <c r="AE894" s="18" t="s">
        <v>162</v>
      </c>
      <c r="AN894" s="3">
        <v>9</v>
      </c>
      <c r="AO894" s="3">
        <v>10</v>
      </c>
      <c r="AP894" s="3">
        <v>0</v>
      </c>
      <c r="AR894" s="2" t="s">
        <v>1713</v>
      </c>
    </row>
    <row r="895" ht="12.75" customHeight="1"/>
    <row r="896" spans="1:45" ht="12.75" customHeight="1">
      <c r="A896" s="4">
        <f>DATE(91,3,22)</f>
        <v>33319</v>
      </c>
      <c r="B896" s="2" t="s">
        <v>152</v>
      </c>
      <c r="C896" s="2" t="s">
        <v>1316</v>
      </c>
      <c r="E896" s="18">
        <v>0</v>
      </c>
      <c r="F896" s="18">
        <v>2</v>
      </c>
      <c r="G896" s="18">
        <v>0</v>
      </c>
      <c r="H896" s="18">
        <v>3</v>
      </c>
      <c r="I896" s="18">
        <v>0</v>
      </c>
      <c r="J896" s="18">
        <v>2</v>
      </c>
      <c r="K896" s="18">
        <v>0</v>
      </c>
      <c r="T896" s="3">
        <v>7</v>
      </c>
      <c r="U896" s="3">
        <v>7</v>
      </c>
      <c r="V896" s="3">
        <v>3</v>
      </c>
      <c r="X896" s="2" t="s">
        <v>1714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N896" s="3">
        <v>0</v>
      </c>
      <c r="AO896" s="3">
        <v>2</v>
      </c>
      <c r="AP896" s="3">
        <v>7</v>
      </c>
      <c r="AR896" s="2" t="s">
        <v>1715</v>
      </c>
      <c r="AS896" s="2" t="s">
        <v>1040</v>
      </c>
    </row>
    <row r="897" spans="1:46" ht="12.75" customHeight="1">
      <c r="A897" s="4">
        <f>DATE(91,4,2)</f>
        <v>33330</v>
      </c>
      <c r="C897" s="2" t="s">
        <v>191</v>
      </c>
      <c r="E897" s="18">
        <v>2</v>
      </c>
      <c r="F897" s="18">
        <v>0</v>
      </c>
      <c r="G897" s="18">
        <v>0</v>
      </c>
      <c r="H897" s="18">
        <v>5</v>
      </c>
      <c r="I897" s="18">
        <v>0</v>
      </c>
      <c r="J897" s="18">
        <v>2</v>
      </c>
      <c r="K897" s="18" t="s">
        <v>162</v>
      </c>
      <c r="T897" s="3">
        <v>9</v>
      </c>
      <c r="U897" s="3">
        <v>7</v>
      </c>
      <c r="V897" s="3">
        <v>1</v>
      </c>
      <c r="X897" s="2" t="s">
        <v>1689</v>
      </c>
      <c r="Y897" s="18">
        <v>0</v>
      </c>
      <c r="Z897" s="18">
        <v>0</v>
      </c>
      <c r="AA897" s="18">
        <v>0</v>
      </c>
      <c r="AB897" s="18">
        <v>0</v>
      </c>
      <c r="AC897" s="18">
        <v>3</v>
      </c>
      <c r="AD897" s="18">
        <v>0</v>
      </c>
      <c r="AE897" s="18">
        <v>0</v>
      </c>
      <c r="AN897" s="3">
        <v>3</v>
      </c>
      <c r="AO897" s="3">
        <v>5</v>
      </c>
      <c r="AP897" s="3">
        <v>0</v>
      </c>
      <c r="AR897" s="2" t="s">
        <v>1716</v>
      </c>
      <c r="AS897" s="2" t="s">
        <v>136</v>
      </c>
      <c r="AT897" s="2">
        <v>6</v>
      </c>
    </row>
    <row r="898" spans="1:45" ht="12.75" customHeight="1">
      <c r="A898" s="4">
        <f>DATE(91,4,3)</f>
        <v>33331</v>
      </c>
      <c r="B898" s="2" t="s">
        <v>152</v>
      </c>
      <c r="C898" s="2" t="s">
        <v>236</v>
      </c>
      <c r="E898" s="18">
        <v>0</v>
      </c>
      <c r="F898" s="18">
        <v>0</v>
      </c>
      <c r="G898" s="18">
        <v>3</v>
      </c>
      <c r="H898" s="18">
        <v>0</v>
      </c>
      <c r="I898" s="18">
        <v>1</v>
      </c>
      <c r="J898" s="18">
        <v>4</v>
      </c>
      <c r="T898" s="3">
        <v>8</v>
      </c>
      <c r="U898" s="3">
        <v>14</v>
      </c>
      <c r="V898" s="3">
        <v>2</v>
      </c>
      <c r="X898" s="2" t="s">
        <v>1717</v>
      </c>
      <c r="Y898" s="18">
        <v>6</v>
      </c>
      <c r="Z898" s="18">
        <v>0</v>
      </c>
      <c r="AA898" s="18">
        <v>0</v>
      </c>
      <c r="AB898" s="18">
        <v>3</v>
      </c>
      <c r="AC898" s="18">
        <v>0</v>
      </c>
      <c r="AD898" s="18">
        <v>9</v>
      </c>
      <c r="AN898" s="3">
        <v>18</v>
      </c>
      <c r="AO898" s="3">
        <v>17</v>
      </c>
      <c r="AP898" s="3">
        <v>1</v>
      </c>
      <c r="AR898" s="2" t="s">
        <v>1718</v>
      </c>
      <c r="AS898" s="2" t="s">
        <v>1102</v>
      </c>
    </row>
    <row r="899" spans="1:45" ht="12.75" customHeight="1">
      <c r="A899" s="4">
        <f>DATE(91,4,4)</f>
        <v>33332</v>
      </c>
      <c r="B899" s="2" t="s">
        <v>152</v>
      </c>
      <c r="C899" s="2" t="s">
        <v>379</v>
      </c>
      <c r="E899" s="18">
        <v>1</v>
      </c>
      <c r="F899" s="18">
        <v>0</v>
      </c>
      <c r="G899" s="18">
        <v>1</v>
      </c>
      <c r="H899" s="18">
        <v>0</v>
      </c>
      <c r="I899" s="18">
        <v>0</v>
      </c>
      <c r="J899" s="18">
        <v>0</v>
      </c>
      <c r="T899" s="3">
        <v>2</v>
      </c>
      <c r="U899" s="3">
        <v>5</v>
      </c>
      <c r="V899" s="3">
        <v>4</v>
      </c>
      <c r="X899" s="2" t="s">
        <v>1719</v>
      </c>
      <c r="Y899" s="18">
        <v>0</v>
      </c>
      <c r="Z899" s="18">
        <v>0</v>
      </c>
      <c r="AA899" s="18">
        <v>4</v>
      </c>
      <c r="AB899" s="18">
        <v>0</v>
      </c>
      <c r="AC899" s="18">
        <v>1</v>
      </c>
      <c r="AD899" s="18">
        <v>8</v>
      </c>
      <c r="AN899" s="3">
        <v>13</v>
      </c>
      <c r="AO899" s="3">
        <v>7</v>
      </c>
      <c r="AP899" s="3">
        <v>0</v>
      </c>
      <c r="AR899" s="2" t="s">
        <v>1720</v>
      </c>
      <c r="AS899" s="2" t="s">
        <v>1069</v>
      </c>
    </row>
    <row r="900" spans="1:44" ht="12.75" customHeight="1">
      <c r="A900" s="4">
        <f>DATE(91,4,6)</f>
        <v>33334</v>
      </c>
      <c r="C900" s="2" t="s">
        <v>367</v>
      </c>
      <c r="E900" s="18">
        <v>6</v>
      </c>
      <c r="F900" s="18">
        <v>0</v>
      </c>
      <c r="G900" s="18">
        <v>6</v>
      </c>
      <c r="H900" s="18">
        <v>0</v>
      </c>
      <c r="I900" s="18">
        <v>0</v>
      </c>
      <c r="J900" s="18">
        <v>1</v>
      </c>
      <c r="K900" s="18" t="s">
        <v>162</v>
      </c>
      <c r="T900" s="3">
        <v>13</v>
      </c>
      <c r="U900" s="3">
        <v>12</v>
      </c>
      <c r="V900" s="3">
        <v>1</v>
      </c>
      <c r="X900" s="2" t="s">
        <v>1700</v>
      </c>
      <c r="Y900" s="18">
        <v>0</v>
      </c>
      <c r="Z900" s="18">
        <v>0</v>
      </c>
      <c r="AA900" s="18">
        <v>4</v>
      </c>
      <c r="AB900" s="18">
        <v>3</v>
      </c>
      <c r="AC900" s="18">
        <v>0</v>
      </c>
      <c r="AD900" s="18">
        <v>1</v>
      </c>
      <c r="AE900" s="18">
        <v>0</v>
      </c>
      <c r="AN900" s="3">
        <v>8</v>
      </c>
      <c r="AO900" s="3">
        <v>14</v>
      </c>
      <c r="AP900" s="3">
        <v>1</v>
      </c>
      <c r="AR900" s="2" t="s">
        <v>1721</v>
      </c>
    </row>
    <row r="901" spans="1:44" ht="12.75" customHeight="1">
      <c r="A901" s="4">
        <f>DATE(91,4,8)</f>
        <v>33336</v>
      </c>
      <c r="C901" s="2" t="s">
        <v>392</v>
      </c>
      <c r="E901" s="18">
        <v>0</v>
      </c>
      <c r="F901" s="18">
        <v>5</v>
      </c>
      <c r="G901" s="18">
        <v>2</v>
      </c>
      <c r="H901" s="18">
        <v>0</v>
      </c>
      <c r="I901" s="18">
        <v>0</v>
      </c>
      <c r="J901" s="18">
        <v>3</v>
      </c>
      <c r="K901" s="18" t="s">
        <v>162</v>
      </c>
      <c r="T901" s="3">
        <v>10</v>
      </c>
      <c r="U901" s="3">
        <v>9</v>
      </c>
      <c r="V901" s="3">
        <v>3</v>
      </c>
      <c r="X901" s="2" t="s">
        <v>1722</v>
      </c>
      <c r="Y901" s="18">
        <v>0</v>
      </c>
      <c r="Z901" s="18">
        <v>2</v>
      </c>
      <c r="AA901" s="18">
        <v>1</v>
      </c>
      <c r="AB901" s="18">
        <v>0</v>
      </c>
      <c r="AC901" s="18">
        <v>0</v>
      </c>
      <c r="AD901" s="18">
        <v>0</v>
      </c>
      <c r="AE901" s="18">
        <v>0</v>
      </c>
      <c r="AN901" s="3">
        <v>3</v>
      </c>
      <c r="AO901" s="3">
        <v>6</v>
      </c>
      <c r="AP901" s="3">
        <v>0</v>
      </c>
      <c r="AR901" s="2" t="s">
        <v>1723</v>
      </c>
    </row>
    <row r="902" spans="1:44" ht="12.75" customHeight="1">
      <c r="A902" s="4">
        <f>DATE(91,4,10)</f>
        <v>33338</v>
      </c>
      <c r="B902" s="2" t="s">
        <v>152</v>
      </c>
      <c r="C902" s="2" t="s">
        <v>137</v>
      </c>
      <c r="E902" s="18">
        <v>0</v>
      </c>
      <c r="F902" s="18">
        <v>2</v>
      </c>
      <c r="G902" s="18">
        <v>3</v>
      </c>
      <c r="H902" s="18">
        <v>7</v>
      </c>
      <c r="I902" s="18">
        <v>4</v>
      </c>
      <c r="T902" s="3">
        <v>16</v>
      </c>
      <c r="U902" s="3">
        <v>15</v>
      </c>
      <c r="V902" s="3">
        <v>2</v>
      </c>
      <c r="X902" s="2" t="s">
        <v>1689</v>
      </c>
      <c r="Y902" s="18">
        <v>2</v>
      </c>
      <c r="Z902" s="18">
        <v>0</v>
      </c>
      <c r="AA902" s="18">
        <v>0</v>
      </c>
      <c r="AB902" s="18">
        <v>0</v>
      </c>
      <c r="AC902" s="18">
        <v>0</v>
      </c>
      <c r="AN902" s="3">
        <v>2</v>
      </c>
      <c r="AO902" s="3">
        <v>1</v>
      </c>
      <c r="AP902" s="3">
        <v>0</v>
      </c>
      <c r="AR902" s="2" t="s">
        <v>1724</v>
      </c>
    </row>
    <row r="903" spans="1:44" ht="12.75" customHeight="1">
      <c r="A903" s="4">
        <f>DATE(91,4,12)</f>
        <v>33340</v>
      </c>
      <c r="B903" s="2" t="s">
        <v>152</v>
      </c>
      <c r="C903" s="2" t="s">
        <v>374</v>
      </c>
      <c r="E903" s="18">
        <v>1</v>
      </c>
      <c r="F903" s="18">
        <v>0</v>
      </c>
      <c r="G903" s="18">
        <v>0</v>
      </c>
      <c r="H903" s="18">
        <v>0</v>
      </c>
      <c r="I903" s="18">
        <v>5</v>
      </c>
      <c r="J903" s="18">
        <v>0</v>
      </c>
      <c r="K903" s="18">
        <v>0</v>
      </c>
      <c r="L903" s="18">
        <v>4</v>
      </c>
      <c r="T903" s="3">
        <v>10</v>
      </c>
      <c r="U903" s="3">
        <v>14</v>
      </c>
      <c r="V903" s="3">
        <v>3</v>
      </c>
      <c r="X903" s="2" t="s">
        <v>1725</v>
      </c>
      <c r="Y903" s="18">
        <v>2</v>
      </c>
      <c r="Z903" s="18">
        <v>0</v>
      </c>
      <c r="AA903" s="18">
        <v>0</v>
      </c>
      <c r="AB903" s="18">
        <v>0</v>
      </c>
      <c r="AC903" s="18">
        <v>3</v>
      </c>
      <c r="AD903" s="18">
        <v>0</v>
      </c>
      <c r="AE903" s="18">
        <v>1</v>
      </c>
      <c r="AF903" s="18">
        <v>0</v>
      </c>
      <c r="AN903" s="3">
        <v>6</v>
      </c>
      <c r="AO903" s="3">
        <v>10</v>
      </c>
      <c r="AP903" s="3">
        <v>0</v>
      </c>
      <c r="AR903" s="2" t="s">
        <v>1726</v>
      </c>
    </row>
    <row r="904" spans="1:44" ht="12.75" customHeight="1">
      <c r="A904" s="4">
        <f>DATE(91,4,16)</f>
        <v>33344</v>
      </c>
      <c r="C904" s="2" t="s">
        <v>174</v>
      </c>
      <c r="E904" s="18">
        <v>4</v>
      </c>
      <c r="F904" s="18">
        <v>1</v>
      </c>
      <c r="G904" s="18">
        <v>0</v>
      </c>
      <c r="H904" s="18">
        <v>3</v>
      </c>
      <c r="I904" s="18">
        <v>0</v>
      </c>
      <c r="J904" s="18">
        <v>1</v>
      </c>
      <c r="K904" s="18" t="s">
        <v>162</v>
      </c>
      <c r="T904" s="3">
        <v>9</v>
      </c>
      <c r="U904" s="3">
        <v>9</v>
      </c>
      <c r="V904" s="3">
        <v>0</v>
      </c>
      <c r="X904" s="2" t="s">
        <v>1700</v>
      </c>
      <c r="Y904" s="18">
        <v>0</v>
      </c>
      <c r="Z904" s="18">
        <v>0</v>
      </c>
      <c r="AA904" s="18">
        <v>1</v>
      </c>
      <c r="AB904" s="18">
        <v>4</v>
      </c>
      <c r="AC904" s="18">
        <v>0</v>
      </c>
      <c r="AD904" s="18">
        <v>0</v>
      </c>
      <c r="AE904" s="18">
        <v>0</v>
      </c>
      <c r="AN904" s="3">
        <v>5</v>
      </c>
      <c r="AO904" s="3">
        <v>9</v>
      </c>
      <c r="AP904" s="3">
        <v>2</v>
      </c>
      <c r="AR904" s="2" t="s">
        <v>1727</v>
      </c>
    </row>
    <row r="905" spans="1:44" ht="12.75" customHeight="1">
      <c r="A905" s="4">
        <f>DATE(91,4,18)</f>
        <v>33346</v>
      </c>
      <c r="C905" s="2" t="s">
        <v>305</v>
      </c>
      <c r="E905" s="18">
        <v>2</v>
      </c>
      <c r="F905" s="18">
        <v>0</v>
      </c>
      <c r="G905" s="18">
        <v>4</v>
      </c>
      <c r="H905" s="18">
        <v>1</v>
      </c>
      <c r="I905" s="18">
        <v>0</v>
      </c>
      <c r="J905" s="18">
        <v>0</v>
      </c>
      <c r="K905" s="18" t="s">
        <v>162</v>
      </c>
      <c r="T905" s="3">
        <v>7</v>
      </c>
      <c r="U905" s="3">
        <v>7</v>
      </c>
      <c r="V905" s="3">
        <v>0</v>
      </c>
      <c r="X905" s="2" t="s">
        <v>1722</v>
      </c>
      <c r="Y905" s="18">
        <v>0</v>
      </c>
      <c r="Z905" s="18">
        <v>0</v>
      </c>
      <c r="AA905" s="18">
        <v>1</v>
      </c>
      <c r="AB905" s="18">
        <v>0</v>
      </c>
      <c r="AC905" s="18">
        <v>0</v>
      </c>
      <c r="AD905" s="18">
        <v>0</v>
      </c>
      <c r="AE905" s="18">
        <v>0</v>
      </c>
      <c r="AN905" s="3">
        <v>1</v>
      </c>
      <c r="AO905" s="3">
        <v>8</v>
      </c>
      <c r="AP905" s="3">
        <v>4</v>
      </c>
      <c r="AR905" s="2" t="s">
        <v>1728</v>
      </c>
    </row>
    <row r="906" spans="1:44" ht="12.75" customHeight="1">
      <c r="A906" s="4">
        <f>DATE(91,4,23)</f>
        <v>33351</v>
      </c>
      <c r="B906" s="2" t="s">
        <v>152</v>
      </c>
      <c r="C906" s="2" t="s">
        <v>175</v>
      </c>
      <c r="E906" s="18">
        <v>0</v>
      </c>
      <c r="F906" s="18">
        <v>1</v>
      </c>
      <c r="G906" s="18">
        <v>1</v>
      </c>
      <c r="H906" s="18">
        <v>2</v>
      </c>
      <c r="I906" s="18">
        <v>0</v>
      </c>
      <c r="J906" s="18">
        <v>0</v>
      </c>
      <c r="K906" s="18">
        <v>0</v>
      </c>
      <c r="T906" s="3">
        <v>4</v>
      </c>
      <c r="U906" s="3">
        <v>6</v>
      </c>
      <c r="V906" s="3">
        <v>2</v>
      </c>
      <c r="X906" s="2" t="s">
        <v>1700</v>
      </c>
      <c r="Y906" s="18">
        <v>0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  <c r="AE906" s="18">
        <v>1</v>
      </c>
      <c r="AN906" s="3">
        <v>1</v>
      </c>
      <c r="AO906" s="3">
        <v>4</v>
      </c>
      <c r="AP906" s="3">
        <v>4</v>
      </c>
      <c r="AR906" s="2" t="s">
        <v>1729</v>
      </c>
    </row>
    <row r="907" spans="1:44" ht="12.75" customHeight="1">
      <c r="A907" s="4">
        <f>DATE(91,4,25)</f>
        <v>33353</v>
      </c>
      <c r="C907" s="2" t="s">
        <v>379</v>
      </c>
      <c r="E907" s="18">
        <v>2</v>
      </c>
      <c r="F907" s="18">
        <v>2</v>
      </c>
      <c r="G907" s="18">
        <v>3</v>
      </c>
      <c r="H907" s="18">
        <v>1</v>
      </c>
      <c r="I907" s="18">
        <v>1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1</v>
      </c>
      <c r="T907" s="3">
        <v>10</v>
      </c>
      <c r="U907" s="3">
        <v>8</v>
      </c>
      <c r="V907" s="3">
        <v>1</v>
      </c>
      <c r="X907" s="2" t="s">
        <v>1730</v>
      </c>
      <c r="Y907" s="18">
        <v>0</v>
      </c>
      <c r="Z907" s="18">
        <v>0</v>
      </c>
      <c r="AA907" s="18">
        <v>1</v>
      </c>
      <c r="AB907" s="18">
        <v>5</v>
      </c>
      <c r="AC907" s="18">
        <v>1</v>
      </c>
      <c r="AD907" s="18">
        <v>0</v>
      </c>
      <c r="AE907" s="18">
        <v>2</v>
      </c>
      <c r="AF907" s="18">
        <v>0</v>
      </c>
      <c r="AG907" s="18">
        <v>0</v>
      </c>
      <c r="AH907" s="18">
        <v>0</v>
      </c>
      <c r="AI907" s="18">
        <v>0</v>
      </c>
      <c r="AN907" s="3">
        <v>9</v>
      </c>
      <c r="AO907" s="3">
        <v>11</v>
      </c>
      <c r="AP907" s="3">
        <v>3</v>
      </c>
      <c r="AR907" s="2" t="s">
        <v>1731</v>
      </c>
    </row>
    <row r="908" spans="1:44" ht="12.75" customHeight="1">
      <c r="A908" s="4">
        <f>DATE(91,4,26)</f>
        <v>33354</v>
      </c>
      <c r="C908" s="2" t="s">
        <v>374</v>
      </c>
      <c r="E908" s="18">
        <v>0</v>
      </c>
      <c r="F908" s="18">
        <v>2</v>
      </c>
      <c r="G908" s="18">
        <v>1</v>
      </c>
      <c r="H908" s="18">
        <v>2</v>
      </c>
      <c r="I908" s="18">
        <v>0</v>
      </c>
      <c r="J908" s="18">
        <v>0</v>
      </c>
      <c r="K908" s="18">
        <v>2</v>
      </c>
      <c r="T908" s="3">
        <v>7</v>
      </c>
      <c r="U908" s="3">
        <v>8</v>
      </c>
      <c r="V908" s="3">
        <v>1</v>
      </c>
      <c r="X908" s="2" t="s">
        <v>1732</v>
      </c>
      <c r="Y908" s="18">
        <v>4</v>
      </c>
      <c r="Z908" s="18">
        <v>0</v>
      </c>
      <c r="AA908" s="18">
        <v>3</v>
      </c>
      <c r="AB908" s="18">
        <v>0</v>
      </c>
      <c r="AC908" s="18">
        <v>3</v>
      </c>
      <c r="AD908" s="18">
        <v>0</v>
      </c>
      <c r="AE908" s="18">
        <v>0</v>
      </c>
      <c r="AN908" s="3">
        <v>10</v>
      </c>
      <c r="AO908" s="3">
        <v>8</v>
      </c>
      <c r="AP908" s="3">
        <v>1</v>
      </c>
      <c r="AR908" s="2" t="s">
        <v>1733</v>
      </c>
    </row>
    <row r="909" spans="1:44" ht="12.75" customHeight="1">
      <c r="A909" s="4">
        <f>DATE(91,4,30)</f>
        <v>33358</v>
      </c>
      <c r="C909" s="2" t="s">
        <v>137</v>
      </c>
      <c r="E909" s="18">
        <v>1</v>
      </c>
      <c r="F909" s="18">
        <v>6</v>
      </c>
      <c r="G909" s="18">
        <v>3</v>
      </c>
      <c r="H909" s="18">
        <v>3</v>
      </c>
      <c r="I909" s="18" t="s">
        <v>162</v>
      </c>
      <c r="T909" s="3">
        <v>13</v>
      </c>
      <c r="U909" s="3">
        <v>11</v>
      </c>
      <c r="V909" s="3">
        <v>1</v>
      </c>
      <c r="X909" s="2" t="s">
        <v>1689</v>
      </c>
      <c r="Y909" s="18">
        <v>1</v>
      </c>
      <c r="Z909" s="18">
        <v>0</v>
      </c>
      <c r="AA909" s="18">
        <v>0</v>
      </c>
      <c r="AB909" s="18">
        <v>2</v>
      </c>
      <c r="AC909" s="18">
        <v>0</v>
      </c>
      <c r="AN909" s="3">
        <v>3</v>
      </c>
      <c r="AO909" s="3">
        <v>7</v>
      </c>
      <c r="AP909" s="3">
        <v>2</v>
      </c>
      <c r="AR909" s="2" t="s">
        <v>1734</v>
      </c>
    </row>
    <row r="910" spans="1:44" ht="12.75" customHeight="1">
      <c r="A910" s="4">
        <f>DATE(91,5,2)</f>
        <v>33360</v>
      </c>
      <c r="B910" s="2" t="s">
        <v>152</v>
      </c>
      <c r="C910" s="2" t="s">
        <v>174</v>
      </c>
      <c r="E910" s="18">
        <v>3</v>
      </c>
      <c r="F910" s="18">
        <v>8</v>
      </c>
      <c r="G910" s="18">
        <v>1</v>
      </c>
      <c r="H910" s="18">
        <v>0</v>
      </c>
      <c r="I910" s="18">
        <v>1</v>
      </c>
      <c r="T910" s="3">
        <v>13</v>
      </c>
      <c r="U910" s="3">
        <v>12</v>
      </c>
      <c r="V910" s="3">
        <v>0</v>
      </c>
      <c r="X910" s="2" t="s">
        <v>1714</v>
      </c>
      <c r="Y910" s="18">
        <v>0</v>
      </c>
      <c r="Z910" s="18">
        <v>1</v>
      </c>
      <c r="AA910" s="18">
        <v>0</v>
      </c>
      <c r="AB910" s="18">
        <v>0</v>
      </c>
      <c r="AC910" s="18">
        <v>0</v>
      </c>
      <c r="AN910" s="3">
        <v>1</v>
      </c>
      <c r="AO910" s="3">
        <v>2</v>
      </c>
      <c r="AP910" s="3">
        <v>0</v>
      </c>
      <c r="AR910" s="2" t="s">
        <v>1735</v>
      </c>
    </row>
    <row r="911" spans="1:44" ht="12.75" customHeight="1">
      <c r="A911" s="4">
        <f>DATE(91,5,4)</f>
        <v>33362</v>
      </c>
      <c r="B911" s="2" t="s">
        <v>152</v>
      </c>
      <c r="C911" s="2" t="s">
        <v>183</v>
      </c>
      <c r="E911" s="18">
        <v>0</v>
      </c>
      <c r="F911" s="18">
        <v>0</v>
      </c>
      <c r="G911" s="18">
        <v>3</v>
      </c>
      <c r="H911" s="18">
        <v>0</v>
      </c>
      <c r="I911" s="18">
        <v>0</v>
      </c>
      <c r="J911" s="18">
        <v>0</v>
      </c>
      <c r="K911" s="18">
        <v>1</v>
      </c>
      <c r="T911" s="3">
        <v>4</v>
      </c>
      <c r="U911" s="3">
        <v>6</v>
      </c>
      <c r="V911" s="3">
        <v>3</v>
      </c>
      <c r="X911" s="2" t="s">
        <v>1736</v>
      </c>
      <c r="Y911" s="18">
        <v>1</v>
      </c>
      <c r="Z911" s="18">
        <v>0</v>
      </c>
      <c r="AA911" s="18">
        <v>3</v>
      </c>
      <c r="AB911" s="18">
        <v>0</v>
      </c>
      <c r="AC911" s="18">
        <v>0</v>
      </c>
      <c r="AD911" s="18">
        <v>2</v>
      </c>
      <c r="AE911" s="18" t="s">
        <v>162</v>
      </c>
      <c r="AN911" s="3">
        <v>6</v>
      </c>
      <c r="AO911" s="3">
        <v>6</v>
      </c>
      <c r="AP911" s="3">
        <v>0</v>
      </c>
      <c r="AR911" s="2" t="s">
        <v>1737</v>
      </c>
    </row>
    <row r="912" spans="1:44" ht="12.75" customHeight="1">
      <c r="A912" s="4">
        <f>DATE(91,5,7)</f>
        <v>33365</v>
      </c>
      <c r="B912" s="2" t="s">
        <v>152</v>
      </c>
      <c r="C912" s="2" t="s">
        <v>392</v>
      </c>
      <c r="E912" s="18">
        <v>1</v>
      </c>
      <c r="F912" s="18">
        <v>0</v>
      </c>
      <c r="G912" s="18">
        <v>1</v>
      </c>
      <c r="H912" s="18">
        <v>0</v>
      </c>
      <c r="I912" s="18">
        <v>1</v>
      </c>
      <c r="J912" s="18">
        <v>3</v>
      </c>
      <c r="K912" s="18">
        <v>0</v>
      </c>
      <c r="T912" s="3">
        <v>6</v>
      </c>
      <c r="U912" s="3">
        <v>7</v>
      </c>
      <c r="V912" s="3">
        <v>1</v>
      </c>
      <c r="X912" s="2" t="s">
        <v>1722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  <c r="AE912" s="18">
        <v>0</v>
      </c>
      <c r="AN912" s="3">
        <v>0</v>
      </c>
      <c r="AO912" s="3">
        <v>4</v>
      </c>
      <c r="AP912" s="3">
        <v>1</v>
      </c>
      <c r="AR912" s="2" t="s">
        <v>1738</v>
      </c>
    </row>
    <row r="913" spans="1:44" ht="12.75" customHeight="1">
      <c r="A913" s="4">
        <f>DATE(91,5,9)</f>
        <v>33367</v>
      </c>
      <c r="C913" s="2" t="s">
        <v>236</v>
      </c>
      <c r="E913" s="18">
        <v>0</v>
      </c>
      <c r="F913" s="18">
        <v>0</v>
      </c>
      <c r="G913" s="18">
        <v>1</v>
      </c>
      <c r="H913" s="18">
        <v>0</v>
      </c>
      <c r="I913" s="18">
        <v>5</v>
      </c>
      <c r="J913" s="18">
        <v>3</v>
      </c>
      <c r="K913" s="18" t="s">
        <v>162</v>
      </c>
      <c r="T913" s="3">
        <v>9</v>
      </c>
      <c r="U913" s="3">
        <v>6</v>
      </c>
      <c r="V913" s="3">
        <v>0</v>
      </c>
      <c r="X913" s="2" t="s">
        <v>1739</v>
      </c>
      <c r="Y913" s="18">
        <v>0</v>
      </c>
      <c r="Z913" s="18">
        <v>0</v>
      </c>
      <c r="AA913" s="18">
        <v>0</v>
      </c>
      <c r="AB913" s="18">
        <v>1</v>
      </c>
      <c r="AC913" s="18">
        <v>5</v>
      </c>
      <c r="AD913" s="18">
        <v>0</v>
      </c>
      <c r="AE913" s="18">
        <v>0</v>
      </c>
      <c r="AN913" s="3">
        <v>6</v>
      </c>
      <c r="AO913" s="3">
        <v>7</v>
      </c>
      <c r="AP913" s="3">
        <v>2</v>
      </c>
      <c r="AR913" s="2" t="s">
        <v>1740</v>
      </c>
    </row>
    <row r="914" spans="1:44" ht="12.75" customHeight="1">
      <c r="A914" s="4">
        <f>DATE(91,5,14)</f>
        <v>33372</v>
      </c>
      <c r="B914" s="2" t="s">
        <v>152</v>
      </c>
      <c r="C914" s="2" t="s">
        <v>191</v>
      </c>
      <c r="E914" s="18">
        <v>1</v>
      </c>
      <c r="F914" s="18">
        <v>0</v>
      </c>
      <c r="G914" s="18">
        <v>3</v>
      </c>
      <c r="H914" s="18">
        <v>0</v>
      </c>
      <c r="I914" s="18">
        <v>0</v>
      </c>
      <c r="J914" s="18">
        <v>1</v>
      </c>
      <c r="K914" s="18">
        <v>0</v>
      </c>
      <c r="L914" s="18">
        <v>0</v>
      </c>
      <c r="T914" s="3">
        <v>5</v>
      </c>
      <c r="U914" s="3">
        <v>7</v>
      </c>
      <c r="V914" s="3">
        <v>3</v>
      </c>
      <c r="X914" s="2" t="s">
        <v>1741</v>
      </c>
      <c r="Y914" s="18">
        <v>1</v>
      </c>
      <c r="Z914" s="18">
        <v>2</v>
      </c>
      <c r="AA914" s="18">
        <v>0</v>
      </c>
      <c r="AB914" s="18">
        <v>0</v>
      </c>
      <c r="AC914" s="18">
        <v>0</v>
      </c>
      <c r="AD914" s="18">
        <v>2</v>
      </c>
      <c r="AE914" s="18">
        <v>0</v>
      </c>
      <c r="AF914" s="18">
        <v>1</v>
      </c>
      <c r="AN914" s="3">
        <v>6</v>
      </c>
      <c r="AO914" s="3">
        <v>6</v>
      </c>
      <c r="AP914" s="3">
        <v>1</v>
      </c>
      <c r="AR914" s="2" t="s">
        <v>1753</v>
      </c>
    </row>
    <row r="915" spans="1:44" ht="12.75" customHeight="1">
      <c r="A915" s="4">
        <f>DATE(91,5,17)</f>
        <v>33375</v>
      </c>
      <c r="B915" s="2" t="s">
        <v>152</v>
      </c>
      <c r="C915" s="2" t="s">
        <v>192</v>
      </c>
      <c r="E915" s="18">
        <v>1</v>
      </c>
      <c r="F915" s="18">
        <v>0</v>
      </c>
      <c r="G915" s="18">
        <v>0</v>
      </c>
      <c r="H915" s="18">
        <v>9</v>
      </c>
      <c r="I915" s="18">
        <v>9</v>
      </c>
      <c r="T915" s="3">
        <v>19</v>
      </c>
      <c r="U915" s="3">
        <v>15</v>
      </c>
      <c r="V915" s="3">
        <v>0</v>
      </c>
      <c r="X915" s="2" t="s">
        <v>1754</v>
      </c>
      <c r="Y915" s="18">
        <v>0</v>
      </c>
      <c r="Z915" s="18">
        <v>0</v>
      </c>
      <c r="AA915" s="18">
        <v>0</v>
      </c>
      <c r="AB915" s="18">
        <v>0</v>
      </c>
      <c r="AC915" s="18">
        <v>0</v>
      </c>
      <c r="AN915" s="3">
        <v>0</v>
      </c>
      <c r="AO915" s="3">
        <v>3</v>
      </c>
      <c r="AP915" s="3">
        <v>2</v>
      </c>
      <c r="AR915" s="2" t="s">
        <v>1755</v>
      </c>
    </row>
    <row r="916" spans="1:44" ht="12.75" customHeight="1">
      <c r="A916" s="4">
        <f>DATE(91,5,21)</f>
        <v>33379</v>
      </c>
      <c r="B916" s="2" t="s">
        <v>239</v>
      </c>
      <c r="C916" s="2" t="s">
        <v>191</v>
      </c>
      <c r="D916" s="2" t="s">
        <v>258</v>
      </c>
      <c r="E916" s="18">
        <v>0</v>
      </c>
      <c r="F916" s="18">
        <v>0</v>
      </c>
      <c r="G916" s="18">
        <v>1</v>
      </c>
      <c r="H916" s="18">
        <v>3</v>
      </c>
      <c r="I916" s="18">
        <v>0</v>
      </c>
      <c r="J916" s="18">
        <v>0</v>
      </c>
      <c r="K916" s="18" t="s">
        <v>162</v>
      </c>
      <c r="T916" s="3">
        <v>4</v>
      </c>
      <c r="U916" s="3">
        <v>5</v>
      </c>
      <c r="V916" s="3">
        <v>0</v>
      </c>
      <c r="X916" s="2" t="s">
        <v>1722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  <c r="AE916" s="18">
        <v>2</v>
      </c>
      <c r="AN916" s="3">
        <v>2</v>
      </c>
      <c r="AO916" s="3">
        <v>6</v>
      </c>
      <c r="AP916" s="3">
        <v>2</v>
      </c>
      <c r="AR916" s="2" t="s">
        <v>1765</v>
      </c>
    </row>
    <row r="917" spans="1:44" ht="12.75" customHeight="1">
      <c r="A917" s="4">
        <f>DATE(91,5,23)</f>
        <v>33381</v>
      </c>
      <c r="B917" s="2" t="s">
        <v>239</v>
      </c>
      <c r="C917" s="2" t="s">
        <v>367</v>
      </c>
      <c r="D917" s="2" t="s">
        <v>258</v>
      </c>
      <c r="E917" s="18">
        <v>4</v>
      </c>
      <c r="F917" s="18">
        <v>1</v>
      </c>
      <c r="G917" s="18">
        <v>0</v>
      </c>
      <c r="H917" s="18">
        <v>3</v>
      </c>
      <c r="I917" s="18">
        <v>3</v>
      </c>
      <c r="T917" s="3">
        <v>11</v>
      </c>
      <c r="U917" s="3">
        <v>13</v>
      </c>
      <c r="V917" s="3">
        <v>1</v>
      </c>
      <c r="X917" s="2" t="s">
        <v>1766</v>
      </c>
      <c r="Y917" s="18">
        <v>0</v>
      </c>
      <c r="Z917" s="18">
        <v>0</v>
      </c>
      <c r="AA917" s="18">
        <v>1</v>
      </c>
      <c r="AB917" s="18">
        <v>0</v>
      </c>
      <c r="AC917" s="18">
        <v>0</v>
      </c>
      <c r="AN917" s="3">
        <v>1</v>
      </c>
      <c r="AO917" s="3">
        <v>8</v>
      </c>
      <c r="AP917" s="3">
        <v>0</v>
      </c>
      <c r="AR917" s="2" t="s">
        <v>1767</v>
      </c>
    </row>
    <row r="918" spans="1:44" ht="12.75" customHeight="1">
      <c r="A918" s="4">
        <f>DATE(91,6,4)</f>
        <v>33393</v>
      </c>
      <c r="B918" s="2" t="s">
        <v>239</v>
      </c>
      <c r="C918" s="2" t="s">
        <v>378</v>
      </c>
      <c r="D918" s="2" t="s">
        <v>260</v>
      </c>
      <c r="E918" s="18">
        <v>1</v>
      </c>
      <c r="F918" s="18">
        <v>3</v>
      </c>
      <c r="G918" s="18">
        <v>0</v>
      </c>
      <c r="H918" s="18">
        <v>3</v>
      </c>
      <c r="I918" s="18">
        <v>3</v>
      </c>
      <c r="J918" s="18">
        <v>6</v>
      </c>
      <c r="T918" s="3">
        <v>16</v>
      </c>
      <c r="U918" s="3">
        <v>16</v>
      </c>
      <c r="V918" s="3">
        <v>1</v>
      </c>
      <c r="X918" s="2" t="s">
        <v>1714</v>
      </c>
      <c r="Y918" s="18">
        <v>0</v>
      </c>
      <c r="Z918" s="18">
        <v>0</v>
      </c>
      <c r="AA918" s="18">
        <v>1</v>
      </c>
      <c r="AB918" s="18">
        <v>2</v>
      </c>
      <c r="AC918" s="18">
        <v>0</v>
      </c>
      <c r="AD918" s="18">
        <v>0</v>
      </c>
      <c r="AN918" s="3">
        <v>3</v>
      </c>
      <c r="AO918" s="3">
        <v>7</v>
      </c>
      <c r="AP918" s="3">
        <v>0</v>
      </c>
      <c r="AR918" s="2" t="s">
        <v>1768</v>
      </c>
    </row>
    <row r="919" spans="1:44" ht="12.75" customHeight="1">
      <c r="A919" s="4">
        <f>DATE(91,6,7)</f>
        <v>33396</v>
      </c>
      <c r="B919" s="2" t="s">
        <v>239</v>
      </c>
      <c r="C919" s="2" t="s">
        <v>394</v>
      </c>
      <c r="D919" s="2" t="s">
        <v>260</v>
      </c>
      <c r="E919" s="18">
        <v>0</v>
      </c>
      <c r="F919" s="18">
        <v>0</v>
      </c>
      <c r="G919" s="18">
        <v>0</v>
      </c>
      <c r="H919" s="18">
        <v>0</v>
      </c>
      <c r="I919" s="18">
        <v>0</v>
      </c>
      <c r="T919" s="3">
        <v>0</v>
      </c>
      <c r="U919" s="3">
        <v>2</v>
      </c>
      <c r="V919" s="3">
        <v>4</v>
      </c>
      <c r="X919" s="2" t="s">
        <v>1769</v>
      </c>
      <c r="Y919" s="18">
        <v>4</v>
      </c>
      <c r="Z919" s="18">
        <v>4</v>
      </c>
      <c r="AA919" s="18">
        <v>0</v>
      </c>
      <c r="AB919" s="18">
        <v>0</v>
      </c>
      <c r="AC919" s="18">
        <v>3</v>
      </c>
      <c r="AN919" s="3">
        <v>11</v>
      </c>
      <c r="AO919" s="3">
        <v>10</v>
      </c>
      <c r="AP919" s="3">
        <v>0</v>
      </c>
      <c r="AR919" s="2" t="s">
        <v>1770</v>
      </c>
    </row>
    <row r="920" ht="12.75" customHeight="1"/>
    <row r="921" spans="1:45" ht="12.75" customHeight="1">
      <c r="A921" s="4">
        <f>DATE(92,4,4)</f>
        <v>33698</v>
      </c>
      <c r="B921" s="2" t="s">
        <v>152</v>
      </c>
      <c r="C921" s="2" t="s">
        <v>175</v>
      </c>
      <c r="E921" s="18">
        <v>2</v>
      </c>
      <c r="F921" s="18">
        <v>0</v>
      </c>
      <c r="G921" s="18">
        <v>0</v>
      </c>
      <c r="H921" s="18">
        <v>0</v>
      </c>
      <c r="I921" s="18">
        <v>0</v>
      </c>
      <c r="J921" s="18">
        <v>2</v>
      </c>
      <c r="K921" s="18">
        <v>0</v>
      </c>
      <c r="T921" s="3">
        <v>4</v>
      </c>
      <c r="U921" s="3">
        <v>7</v>
      </c>
      <c r="V921" s="3">
        <v>2</v>
      </c>
      <c r="X921" s="2" t="s">
        <v>1771</v>
      </c>
      <c r="Y921" s="18">
        <v>1</v>
      </c>
      <c r="Z921" s="18">
        <v>4</v>
      </c>
      <c r="AA921" s="18">
        <v>0</v>
      </c>
      <c r="AB921" s="18">
        <v>1</v>
      </c>
      <c r="AC921" s="18">
        <v>0</v>
      </c>
      <c r="AD921" s="18">
        <v>0</v>
      </c>
      <c r="AE921" s="18" t="s">
        <v>162</v>
      </c>
      <c r="AN921" s="3">
        <f aca="true" t="shared" si="5" ref="AN921:AN942">SUM(Y921:AM921)</f>
        <v>6</v>
      </c>
      <c r="AO921" s="3">
        <v>7</v>
      </c>
      <c r="AP921" s="3">
        <v>2</v>
      </c>
      <c r="AR921" s="2" t="s">
        <v>1772</v>
      </c>
      <c r="AS921" s="2" t="s">
        <v>1040</v>
      </c>
    </row>
    <row r="922" spans="1:46" ht="12.75" customHeight="1">
      <c r="A922" s="4">
        <f>DATE(92,4,6)</f>
        <v>33700</v>
      </c>
      <c r="C922" s="2" t="s">
        <v>191</v>
      </c>
      <c r="E922" s="18">
        <v>0</v>
      </c>
      <c r="F922" s="18">
        <v>0</v>
      </c>
      <c r="G922" s="18">
        <v>1</v>
      </c>
      <c r="H922" s="18">
        <v>0</v>
      </c>
      <c r="I922" s="18">
        <v>0</v>
      </c>
      <c r="J922" s="18">
        <v>0</v>
      </c>
      <c r="K922" s="18">
        <v>1</v>
      </c>
      <c r="T922" s="3">
        <v>2</v>
      </c>
      <c r="U922" s="3">
        <v>5</v>
      </c>
      <c r="V922" s="3">
        <v>6</v>
      </c>
      <c r="X922" s="2" t="s">
        <v>1773</v>
      </c>
      <c r="Y922" s="18">
        <v>0</v>
      </c>
      <c r="Z922" s="18">
        <v>0</v>
      </c>
      <c r="AA922" s="18">
        <v>6</v>
      </c>
      <c r="AB922" s="18">
        <v>2</v>
      </c>
      <c r="AC922" s="18">
        <v>0</v>
      </c>
      <c r="AD922" s="18">
        <v>1</v>
      </c>
      <c r="AE922" s="18">
        <v>0</v>
      </c>
      <c r="AN922" s="3">
        <f t="shared" si="5"/>
        <v>9</v>
      </c>
      <c r="AO922" s="3">
        <v>9</v>
      </c>
      <c r="AP922" s="3">
        <v>1</v>
      </c>
      <c r="AR922" s="2" t="s">
        <v>1774</v>
      </c>
      <c r="AS922" s="2" t="s">
        <v>326</v>
      </c>
      <c r="AT922" s="2">
        <v>13</v>
      </c>
    </row>
    <row r="923" spans="1:44" ht="12.75" customHeight="1">
      <c r="A923" s="4">
        <f>DATE(92,4,7)</f>
        <v>33701</v>
      </c>
      <c r="C923" s="2" t="s">
        <v>174</v>
      </c>
      <c r="E923" s="18">
        <v>0</v>
      </c>
      <c r="F923" s="18">
        <v>0</v>
      </c>
      <c r="G923" s="18">
        <v>2</v>
      </c>
      <c r="H923" s="18">
        <v>3</v>
      </c>
      <c r="I923" s="18">
        <v>3</v>
      </c>
      <c r="J923" s="18">
        <v>0</v>
      </c>
      <c r="T923" s="3">
        <v>8</v>
      </c>
      <c r="U923" s="3">
        <v>9</v>
      </c>
      <c r="V923" s="3">
        <v>8</v>
      </c>
      <c r="X923" s="2" t="s">
        <v>1780</v>
      </c>
      <c r="Y923" s="18">
        <v>2</v>
      </c>
      <c r="Z923" s="18">
        <v>0</v>
      </c>
      <c r="AA923" s="18">
        <v>2</v>
      </c>
      <c r="AB923" s="18">
        <v>4</v>
      </c>
      <c r="AC923" s="18">
        <v>1</v>
      </c>
      <c r="AD923" s="18">
        <v>11</v>
      </c>
      <c r="AN923" s="3">
        <f t="shared" si="5"/>
        <v>20</v>
      </c>
      <c r="AO923" s="3">
        <v>15</v>
      </c>
      <c r="AP923" s="3">
        <v>5</v>
      </c>
      <c r="AR923" s="2" t="s">
        <v>1781</v>
      </c>
    </row>
    <row r="924" spans="1:44" ht="12.75" customHeight="1">
      <c r="A924" s="4">
        <f>DATE(92,4,8)</f>
        <v>33702</v>
      </c>
      <c r="C924" s="2" t="s">
        <v>305</v>
      </c>
      <c r="E924" s="18">
        <v>4</v>
      </c>
      <c r="F924" s="18">
        <v>0</v>
      </c>
      <c r="G924" s="18">
        <v>0</v>
      </c>
      <c r="H924" s="18">
        <v>0</v>
      </c>
      <c r="I924" s="18">
        <v>3</v>
      </c>
      <c r="J924" s="18">
        <v>0</v>
      </c>
      <c r="T924" s="3">
        <v>7</v>
      </c>
      <c r="U924" s="3">
        <v>9</v>
      </c>
      <c r="V924" s="3">
        <v>4</v>
      </c>
      <c r="X924" s="2" t="s">
        <v>1782</v>
      </c>
      <c r="Y924" s="18">
        <v>1</v>
      </c>
      <c r="Z924" s="18">
        <v>0</v>
      </c>
      <c r="AA924" s="18">
        <v>1</v>
      </c>
      <c r="AB924" s="18">
        <v>5</v>
      </c>
      <c r="AC924" s="18">
        <v>2</v>
      </c>
      <c r="AD924" s="18">
        <v>4</v>
      </c>
      <c r="AN924" s="3">
        <f t="shared" si="5"/>
        <v>13</v>
      </c>
      <c r="AO924" s="3">
        <v>10</v>
      </c>
      <c r="AP924" s="3">
        <v>3</v>
      </c>
      <c r="AR924" s="2" t="s">
        <v>1783</v>
      </c>
    </row>
    <row r="925" spans="1:44" ht="12.75" customHeight="1">
      <c r="A925" s="4">
        <f>DATE(92,4,10)</f>
        <v>33704</v>
      </c>
      <c r="B925" s="2" t="s">
        <v>152</v>
      </c>
      <c r="C925" s="2" t="s">
        <v>137</v>
      </c>
      <c r="E925" s="18">
        <v>0</v>
      </c>
      <c r="F925" s="18">
        <v>0</v>
      </c>
      <c r="G925" s="18">
        <v>0</v>
      </c>
      <c r="H925" s="18">
        <v>1</v>
      </c>
      <c r="I925" s="18">
        <v>0</v>
      </c>
      <c r="J925" s="18">
        <v>0</v>
      </c>
      <c r="K925" s="18">
        <v>1</v>
      </c>
      <c r="T925" s="3">
        <v>2</v>
      </c>
      <c r="U925" s="3">
        <v>9</v>
      </c>
      <c r="V925" s="3">
        <v>0</v>
      </c>
      <c r="X925" s="2" t="s">
        <v>1784</v>
      </c>
      <c r="Y925" s="18">
        <v>0</v>
      </c>
      <c r="Z925" s="18">
        <v>0</v>
      </c>
      <c r="AA925" s="18">
        <v>1</v>
      </c>
      <c r="AB925" s="18">
        <v>0</v>
      </c>
      <c r="AC925" s="18">
        <v>0</v>
      </c>
      <c r="AD925" s="18">
        <v>3</v>
      </c>
      <c r="AE925" s="18" t="s">
        <v>162</v>
      </c>
      <c r="AN925" s="3">
        <f t="shared" si="5"/>
        <v>4</v>
      </c>
      <c r="AO925" s="3">
        <v>4</v>
      </c>
      <c r="AP925" s="3">
        <v>1</v>
      </c>
      <c r="AR925" s="2" t="s">
        <v>1785</v>
      </c>
    </row>
    <row r="926" spans="1:44" ht="12.75" customHeight="1">
      <c r="A926" s="4">
        <f>DATE(92,4,11)</f>
        <v>33705</v>
      </c>
      <c r="B926" s="2" t="s">
        <v>152</v>
      </c>
      <c r="C926" s="2" t="s">
        <v>236</v>
      </c>
      <c r="E926" s="18">
        <v>4</v>
      </c>
      <c r="F926" s="18">
        <v>1</v>
      </c>
      <c r="G926" s="18">
        <v>1</v>
      </c>
      <c r="H926" s="18">
        <v>0</v>
      </c>
      <c r="I926" s="18">
        <v>3</v>
      </c>
      <c r="J926" s="18">
        <v>3</v>
      </c>
      <c r="K926" s="18">
        <v>6</v>
      </c>
      <c r="T926" s="3">
        <v>18</v>
      </c>
      <c r="U926" s="3">
        <v>19</v>
      </c>
      <c r="V926" s="3">
        <v>4</v>
      </c>
      <c r="X926" s="2" t="s">
        <v>1754</v>
      </c>
      <c r="Y926" s="18">
        <v>1</v>
      </c>
      <c r="Z926" s="18">
        <v>0</v>
      </c>
      <c r="AA926" s="18">
        <v>4</v>
      </c>
      <c r="AB926" s="18">
        <v>5</v>
      </c>
      <c r="AC926" s="18">
        <v>0</v>
      </c>
      <c r="AD926" s="18">
        <v>0</v>
      </c>
      <c r="AE926" s="18">
        <v>0</v>
      </c>
      <c r="AN926" s="3">
        <f t="shared" si="5"/>
        <v>10</v>
      </c>
      <c r="AO926" s="3">
        <v>12</v>
      </c>
      <c r="AP926" s="3">
        <v>3</v>
      </c>
      <c r="AR926" s="2" t="s">
        <v>1786</v>
      </c>
    </row>
    <row r="927" spans="1:44" ht="12.75" customHeight="1">
      <c r="A927" s="4">
        <f>DATE(92,4,14)</f>
        <v>33708</v>
      </c>
      <c r="B927" s="2" t="s">
        <v>152</v>
      </c>
      <c r="C927" s="2" t="s">
        <v>374</v>
      </c>
      <c r="E927" s="18">
        <v>7</v>
      </c>
      <c r="F927" s="18">
        <v>0</v>
      </c>
      <c r="G927" s="18">
        <v>0</v>
      </c>
      <c r="H927" s="18">
        <v>7</v>
      </c>
      <c r="I927" s="18">
        <v>0</v>
      </c>
      <c r="J927" s="18">
        <v>1</v>
      </c>
      <c r="K927" s="18">
        <v>0</v>
      </c>
      <c r="T927" s="3">
        <v>15</v>
      </c>
      <c r="U927" s="3">
        <v>14</v>
      </c>
      <c r="V927" s="3">
        <v>4</v>
      </c>
      <c r="X927" s="2" t="s">
        <v>1787</v>
      </c>
      <c r="Y927" s="18">
        <v>2</v>
      </c>
      <c r="Z927" s="18">
        <v>0</v>
      </c>
      <c r="AA927" s="18">
        <v>2</v>
      </c>
      <c r="AB927" s="18">
        <v>0</v>
      </c>
      <c r="AC927" s="18">
        <v>1</v>
      </c>
      <c r="AD927" s="18">
        <v>1</v>
      </c>
      <c r="AE927" s="18">
        <v>2</v>
      </c>
      <c r="AN927" s="3">
        <f t="shared" si="5"/>
        <v>8</v>
      </c>
      <c r="AO927" s="3">
        <v>10</v>
      </c>
      <c r="AP927" s="3">
        <v>2</v>
      </c>
      <c r="AR927" s="2" t="s">
        <v>1788</v>
      </c>
    </row>
    <row r="928" spans="1:44" ht="12.75" customHeight="1">
      <c r="A928" s="4">
        <f>DATE(92,4,20)</f>
        <v>33714</v>
      </c>
      <c r="B928" s="2" t="s">
        <v>152</v>
      </c>
      <c r="C928" s="2" t="s">
        <v>392</v>
      </c>
      <c r="E928" s="18">
        <v>0</v>
      </c>
      <c r="F928" s="18">
        <v>0</v>
      </c>
      <c r="G928" s="18">
        <v>1</v>
      </c>
      <c r="H928" s="18">
        <v>1</v>
      </c>
      <c r="I928" s="18">
        <v>3</v>
      </c>
      <c r="J928" s="18">
        <v>0</v>
      </c>
      <c r="K928" s="18">
        <v>0</v>
      </c>
      <c r="T928" s="3">
        <v>5</v>
      </c>
      <c r="U928" s="3">
        <v>9</v>
      </c>
      <c r="V928" s="3">
        <v>2</v>
      </c>
      <c r="X928" s="2" t="s">
        <v>1730</v>
      </c>
      <c r="Y928" s="18">
        <v>0</v>
      </c>
      <c r="Z928" s="18">
        <v>0</v>
      </c>
      <c r="AA928" s="18">
        <v>0</v>
      </c>
      <c r="AB928" s="18">
        <v>3</v>
      </c>
      <c r="AC928" s="18">
        <v>2</v>
      </c>
      <c r="AD928" s="18">
        <v>0</v>
      </c>
      <c r="AE928" s="18">
        <v>1</v>
      </c>
      <c r="AN928" s="3">
        <f t="shared" si="5"/>
        <v>6</v>
      </c>
      <c r="AO928" s="3">
        <v>6</v>
      </c>
      <c r="AP928" s="3">
        <v>1</v>
      </c>
      <c r="AR928" s="2" t="s">
        <v>1789</v>
      </c>
    </row>
    <row r="929" spans="1:44" ht="12.75" customHeight="1">
      <c r="A929" s="4">
        <f>DATE(92,4,22)</f>
        <v>33716</v>
      </c>
      <c r="B929" s="2" t="s">
        <v>152</v>
      </c>
      <c r="C929" s="2" t="s">
        <v>191</v>
      </c>
      <c r="E929" s="18">
        <v>0</v>
      </c>
      <c r="F929" s="18">
        <v>2</v>
      </c>
      <c r="G929" s="18">
        <v>1</v>
      </c>
      <c r="H929" s="18">
        <v>0</v>
      </c>
      <c r="I929" s="18">
        <v>2</v>
      </c>
      <c r="J929" s="18">
        <v>0</v>
      </c>
      <c r="K929" s="18">
        <v>0</v>
      </c>
      <c r="L929" s="18">
        <v>1</v>
      </c>
      <c r="T929" s="3">
        <v>6</v>
      </c>
      <c r="U929" s="3">
        <v>11</v>
      </c>
      <c r="V929" s="3">
        <v>1</v>
      </c>
      <c r="X929" s="2" t="s">
        <v>1790</v>
      </c>
      <c r="Y929" s="18">
        <v>0</v>
      </c>
      <c r="Z929" s="18">
        <v>1</v>
      </c>
      <c r="AA929" s="18">
        <v>0</v>
      </c>
      <c r="AB929" s="18">
        <v>2</v>
      </c>
      <c r="AC929" s="18">
        <v>0</v>
      </c>
      <c r="AD929" s="18">
        <v>2</v>
      </c>
      <c r="AE929" s="18">
        <v>0</v>
      </c>
      <c r="AF929" s="18">
        <v>2</v>
      </c>
      <c r="AN929" s="3">
        <f t="shared" si="5"/>
        <v>7</v>
      </c>
      <c r="AO929" s="3">
        <v>10</v>
      </c>
      <c r="AP929" s="3">
        <v>2</v>
      </c>
      <c r="AR929" s="2" t="s">
        <v>1791</v>
      </c>
    </row>
    <row r="930" spans="1:44" ht="12.75" customHeight="1">
      <c r="A930" s="4">
        <f>DATE(92,4,23)</f>
        <v>33717</v>
      </c>
      <c r="C930" s="2" t="s">
        <v>379</v>
      </c>
      <c r="E930" s="18">
        <v>7</v>
      </c>
      <c r="F930" s="18">
        <v>3</v>
      </c>
      <c r="G930" s="18">
        <v>1</v>
      </c>
      <c r="H930" s="18">
        <v>6</v>
      </c>
      <c r="I930" s="18">
        <v>6</v>
      </c>
      <c r="T930" s="3">
        <v>23</v>
      </c>
      <c r="U930" s="3">
        <v>17</v>
      </c>
      <c r="V930" s="3">
        <v>1</v>
      </c>
      <c r="X930" s="2" t="s">
        <v>1792</v>
      </c>
      <c r="Y930" s="18">
        <v>3</v>
      </c>
      <c r="Z930" s="18">
        <v>7</v>
      </c>
      <c r="AA930" s="18">
        <v>0</v>
      </c>
      <c r="AB930" s="18">
        <v>3</v>
      </c>
      <c r="AC930" s="18">
        <v>0</v>
      </c>
      <c r="AN930" s="3">
        <f t="shared" si="5"/>
        <v>13</v>
      </c>
      <c r="AO930" s="3">
        <v>16</v>
      </c>
      <c r="AP930" s="3">
        <v>1</v>
      </c>
      <c r="AR930" s="2" t="s">
        <v>1793</v>
      </c>
    </row>
    <row r="931" spans="1:44" ht="12.75" customHeight="1">
      <c r="A931" s="4">
        <f>DATE(92,4,27)</f>
        <v>33721</v>
      </c>
      <c r="C931" s="2" t="s">
        <v>175</v>
      </c>
      <c r="E931" s="18">
        <v>2</v>
      </c>
      <c r="F931" s="18">
        <v>0</v>
      </c>
      <c r="G931" s="18">
        <v>0</v>
      </c>
      <c r="H931" s="18">
        <v>1</v>
      </c>
      <c r="I931" s="18">
        <v>0</v>
      </c>
      <c r="J931" s="18">
        <v>0</v>
      </c>
      <c r="K931" s="18">
        <v>3</v>
      </c>
      <c r="T931" s="3">
        <v>6</v>
      </c>
      <c r="U931" s="3">
        <v>7</v>
      </c>
      <c r="V931" s="3">
        <v>4</v>
      </c>
      <c r="X931" s="2" t="s">
        <v>1794</v>
      </c>
      <c r="Y931" s="18">
        <v>0</v>
      </c>
      <c r="Z931" s="18">
        <v>1</v>
      </c>
      <c r="AA931" s="18">
        <v>0</v>
      </c>
      <c r="AB931" s="18">
        <v>5</v>
      </c>
      <c r="AC931" s="18">
        <v>0</v>
      </c>
      <c r="AD931" s="18">
        <v>1</v>
      </c>
      <c r="AE931" s="18">
        <v>2</v>
      </c>
      <c r="AN931" s="3">
        <f t="shared" si="5"/>
        <v>9</v>
      </c>
      <c r="AO931" s="3">
        <v>10</v>
      </c>
      <c r="AP931" s="3">
        <v>1</v>
      </c>
      <c r="AR931" s="2" t="s">
        <v>1772</v>
      </c>
    </row>
    <row r="932" spans="1:44" ht="12.75" customHeight="1">
      <c r="A932" s="4">
        <f>DATE(92,4,28)</f>
        <v>33722</v>
      </c>
      <c r="B932" s="2" t="s">
        <v>152</v>
      </c>
      <c r="C932" s="2" t="s">
        <v>305</v>
      </c>
      <c r="E932" s="18">
        <v>0</v>
      </c>
      <c r="F932" s="18">
        <v>0</v>
      </c>
      <c r="G932" s="18">
        <v>4</v>
      </c>
      <c r="H932" s="18">
        <v>0</v>
      </c>
      <c r="I932" s="18">
        <v>5</v>
      </c>
      <c r="J932" s="18">
        <v>0</v>
      </c>
      <c r="K932" s="18">
        <v>0</v>
      </c>
      <c r="T932" s="3">
        <v>9</v>
      </c>
      <c r="U932" s="3">
        <v>7</v>
      </c>
      <c r="V932" s="3">
        <v>4</v>
      </c>
      <c r="X932" s="2" t="s">
        <v>1784</v>
      </c>
      <c r="Y932" s="18">
        <v>2</v>
      </c>
      <c r="Z932" s="18">
        <v>1</v>
      </c>
      <c r="AA932" s="18">
        <v>0</v>
      </c>
      <c r="AB932" s="18">
        <v>5</v>
      </c>
      <c r="AC932" s="18">
        <v>0</v>
      </c>
      <c r="AD932" s="18">
        <v>2</v>
      </c>
      <c r="AE932" s="18" t="s">
        <v>162</v>
      </c>
      <c r="AN932" s="3">
        <f t="shared" si="5"/>
        <v>10</v>
      </c>
      <c r="AO932" s="3">
        <v>9</v>
      </c>
      <c r="AP932" s="3">
        <v>2</v>
      </c>
      <c r="AR932" s="2" t="s">
        <v>1795</v>
      </c>
    </row>
    <row r="933" spans="1:44" ht="12.75" customHeight="1">
      <c r="A933" s="4">
        <f>DATE(92,5,1)</f>
        <v>33725</v>
      </c>
      <c r="C933" s="2" t="s">
        <v>374</v>
      </c>
      <c r="E933" s="18">
        <v>8</v>
      </c>
      <c r="F933" s="18">
        <v>0</v>
      </c>
      <c r="G933" s="18">
        <v>1</v>
      </c>
      <c r="H933" s="18">
        <v>0</v>
      </c>
      <c r="I933" s="18">
        <v>0</v>
      </c>
      <c r="J933" s="18">
        <v>3</v>
      </c>
      <c r="T933" s="3">
        <v>12</v>
      </c>
      <c r="U933" s="3">
        <v>14</v>
      </c>
      <c r="V933" s="3">
        <v>0</v>
      </c>
      <c r="X933" s="2" t="s">
        <v>1796</v>
      </c>
      <c r="Y933" s="18">
        <v>0</v>
      </c>
      <c r="Z933" s="18">
        <v>1</v>
      </c>
      <c r="AA933" s="18">
        <v>0</v>
      </c>
      <c r="AB933" s="18">
        <v>0</v>
      </c>
      <c r="AC933" s="18">
        <v>0</v>
      </c>
      <c r="AD933" s="18">
        <v>0</v>
      </c>
      <c r="AN933" s="3">
        <f t="shared" si="5"/>
        <v>1</v>
      </c>
      <c r="AO933" s="3">
        <v>6</v>
      </c>
      <c r="AP933" s="3">
        <v>4</v>
      </c>
      <c r="AR933" s="2" t="s">
        <v>1797</v>
      </c>
    </row>
    <row r="934" spans="1:44" ht="12.75" customHeight="1">
      <c r="A934" s="4">
        <f>DATE(92,5,2)</f>
        <v>33726</v>
      </c>
      <c r="C934" s="2" t="s">
        <v>183</v>
      </c>
      <c r="E934" s="18">
        <v>0</v>
      </c>
      <c r="F934" s="18">
        <v>3</v>
      </c>
      <c r="G934" s="18">
        <v>1</v>
      </c>
      <c r="H934" s="18">
        <v>1</v>
      </c>
      <c r="I934" s="18">
        <v>0</v>
      </c>
      <c r="J934" s="18">
        <v>0</v>
      </c>
      <c r="T934" s="3">
        <v>5</v>
      </c>
      <c r="U934" s="3">
        <v>7</v>
      </c>
      <c r="V934" s="3">
        <v>3</v>
      </c>
      <c r="X934" s="2" t="s">
        <v>1798</v>
      </c>
      <c r="Y934" s="18">
        <v>12</v>
      </c>
      <c r="Z934" s="18">
        <v>1</v>
      </c>
      <c r="AA934" s="18">
        <v>0</v>
      </c>
      <c r="AB934" s="18">
        <v>0</v>
      </c>
      <c r="AC934" s="18">
        <v>0</v>
      </c>
      <c r="AD934" s="18">
        <v>2</v>
      </c>
      <c r="AN934" s="3">
        <f t="shared" si="5"/>
        <v>15</v>
      </c>
      <c r="AO934" s="3">
        <v>14</v>
      </c>
      <c r="AP934" s="3">
        <v>0</v>
      </c>
      <c r="AR934" s="2" t="s">
        <v>1798</v>
      </c>
    </row>
    <row r="935" spans="1:44" ht="12.75" customHeight="1">
      <c r="A935" s="4">
        <f>DATE(92,5,4)</f>
        <v>33728</v>
      </c>
      <c r="B935" s="2" t="s">
        <v>152</v>
      </c>
      <c r="C935" s="2" t="s">
        <v>367</v>
      </c>
      <c r="E935" s="18">
        <v>1</v>
      </c>
      <c r="F935" s="18">
        <v>0</v>
      </c>
      <c r="G935" s="18">
        <v>0</v>
      </c>
      <c r="H935" s="18">
        <v>3</v>
      </c>
      <c r="I935" s="18">
        <v>4</v>
      </c>
      <c r="J935" s="18">
        <v>3</v>
      </c>
      <c r="K935" s="18">
        <v>0</v>
      </c>
      <c r="T935" s="3">
        <v>11</v>
      </c>
      <c r="U935" s="3">
        <v>12</v>
      </c>
      <c r="V935" s="3">
        <v>3</v>
      </c>
      <c r="X935" s="2" t="s">
        <v>1799</v>
      </c>
      <c r="Y935" s="18">
        <v>0</v>
      </c>
      <c r="Z935" s="18">
        <v>0</v>
      </c>
      <c r="AA935" s="18">
        <v>0</v>
      </c>
      <c r="AB935" s="18">
        <v>4</v>
      </c>
      <c r="AC935" s="18">
        <v>2</v>
      </c>
      <c r="AD935" s="18">
        <v>0</v>
      </c>
      <c r="AE935" s="18">
        <v>0</v>
      </c>
      <c r="AN935" s="3">
        <f t="shared" si="5"/>
        <v>6</v>
      </c>
      <c r="AO935" s="3">
        <v>8</v>
      </c>
      <c r="AP935" s="3">
        <v>1</v>
      </c>
      <c r="AR935" s="2" t="s">
        <v>1800</v>
      </c>
    </row>
    <row r="936" spans="1:44" ht="12.75" customHeight="1">
      <c r="A936" s="4">
        <f>DATE(92,5,5)</f>
        <v>33729</v>
      </c>
      <c r="C936" s="2" t="s">
        <v>137</v>
      </c>
      <c r="E936" s="18">
        <v>2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T936" s="3">
        <v>2</v>
      </c>
      <c r="U936" s="3">
        <v>6</v>
      </c>
      <c r="V936" s="3">
        <v>2</v>
      </c>
      <c r="X936" s="2" t="s">
        <v>1801</v>
      </c>
      <c r="Y936" s="18">
        <v>1</v>
      </c>
      <c r="Z936" s="18">
        <v>0</v>
      </c>
      <c r="AA936" s="18">
        <v>1</v>
      </c>
      <c r="AB936" s="18">
        <v>0</v>
      </c>
      <c r="AC936" s="18">
        <v>2</v>
      </c>
      <c r="AD936" s="18">
        <v>0</v>
      </c>
      <c r="AE936" s="18">
        <v>2</v>
      </c>
      <c r="AN936" s="3">
        <f t="shared" si="5"/>
        <v>6</v>
      </c>
      <c r="AO936" s="3">
        <v>5</v>
      </c>
      <c r="AP936" s="3">
        <v>2</v>
      </c>
      <c r="AR936" s="2" t="s">
        <v>1802</v>
      </c>
    </row>
    <row r="937" spans="1:44" ht="12.75" customHeight="1">
      <c r="A937" s="4">
        <f>DATE(92,5,7)</f>
        <v>33731</v>
      </c>
      <c r="B937" s="2" t="s">
        <v>152</v>
      </c>
      <c r="C937" s="2" t="s">
        <v>174</v>
      </c>
      <c r="E937" s="18">
        <v>0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T937" s="3">
        <v>0</v>
      </c>
      <c r="U937" s="3">
        <v>2</v>
      </c>
      <c r="V937" s="3">
        <v>2</v>
      </c>
      <c r="X937" s="2" t="s">
        <v>1803</v>
      </c>
      <c r="Y937" s="18">
        <v>1</v>
      </c>
      <c r="Z937" s="18">
        <v>0</v>
      </c>
      <c r="AA937" s="18">
        <v>0</v>
      </c>
      <c r="AB937" s="18">
        <v>0</v>
      </c>
      <c r="AC937" s="18">
        <v>1</v>
      </c>
      <c r="AD937" s="18">
        <v>3</v>
      </c>
      <c r="AE937" s="18" t="s">
        <v>162</v>
      </c>
      <c r="AN937" s="3">
        <f t="shared" si="5"/>
        <v>5</v>
      </c>
      <c r="AO937" s="3">
        <v>5</v>
      </c>
      <c r="AP937" s="3">
        <v>0</v>
      </c>
      <c r="AR937" s="2" t="s">
        <v>1804</v>
      </c>
    </row>
    <row r="938" spans="1:44" ht="12.75" customHeight="1">
      <c r="A938" s="4">
        <f>DATE(92,5,12)</f>
        <v>33736</v>
      </c>
      <c r="C938" s="2" t="s">
        <v>236</v>
      </c>
      <c r="E938" s="18">
        <v>4</v>
      </c>
      <c r="F938" s="18">
        <v>1</v>
      </c>
      <c r="G938" s="18">
        <v>2</v>
      </c>
      <c r="H938" s="18">
        <v>3</v>
      </c>
      <c r="I938" s="18">
        <v>0</v>
      </c>
      <c r="J938" s="18">
        <v>3</v>
      </c>
      <c r="K938" s="18" t="s">
        <v>162</v>
      </c>
      <c r="T938" s="3">
        <v>13</v>
      </c>
      <c r="U938" s="3">
        <v>13</v>
      </c>
      <c r="V938" s="3">
        <v>1</v>
      </c>
      <c r="X938" s="2" t="s">
        <v>1796</v>
      </c>
      <c r="Y938" s="18">
        <v>0</v>
      </c>
      <c r="Z938" s="18">
        <v>0</v>
      </c>
      <c r="AA938" s="18">
        <v>0</v>
      </c>
      <c r="AB938" s="18">
        <v>3</v>
      </c>
      <c r="AC938" s="18">
        <v>0</v>
      </c>
      <c r="AD938" s="18">
        <v>0</v>
      </c>
      <c r="AN938" s="3">
        <f t="shared" si="5"/>
        <v>3</v>
      </c>
      <c r="AO938" s="3">
        <v>5</v>
      </c>
      <c r="AP938" s="3">
        <v>3</v>
      </c>
      <c r="AR938" s="2" t="s">
        <v>1805</v>
      </c>
    </row>
    <row r="939" spans="1:44" ht="12.75" customHeight="1">
      <c r="A939" s="4">
        <f>DATE(92,5,14)</f>
        <v>33738</v>
      </c>
      <c r="C939" s="2" t="s">
        <v>138</v>
      </c>
      <c r="E939" s="18">
        <v>0</v>
      </c>
      <c r="F939" s="18">
        <v>8</v>
      </c>
      <c r="G939" s="18">
        <v>3</v>
      </c>
      <c r="H939" s="18">
        <v>6</v>
      </c>
      <c r="I939" s="18" t="s">
        <v>162</v>
      </c>
      <c r="T939" s="3">
        <v>17</v>
      </c>
      <c r="U939" s="3">
        <v>13</v>
      </c>
      <c r="V939" s="3">
        <v>4</v>
      </c>
      <c r="X939" s="2" t="s">
        <v>1806</v>
      </c>
      <c r="Y939" s="18">
        <v>0</v>
      </c>
      <c r="Z939" s="18">
        <v>0</v>
      </c>
      <c r="AA939" s="18">
        <v>1</v>
      </c>
      <c r="AB939" s="18">
        <v>2</v>
      </c>
      <c r="AC939" s="18">
        <v>3</v>
      </c>
      <c r="AN939" s="3">
        <f t="shared" si="5"/>
        <v>6</v>
      </c>
      <c r="AO939" s="3">
        <v>8</v>
      </c>
      <c r="AP939" s="3">
        <v>5</v>
      </c>
      <c r="AR939" s="2" t="s">
        <v>1807</v>
      </c>
    </row>
    <row r="940" spans="1:44" ht="12.75" customHeight="1">
      <c r="A940" s="4">
        <f>DATE(92,5,16)</f>
        <v>33740</v>
      </c>
      <c r="C940" s="2" t="s">
        <v>192</v>
      </c>
      <c r="E940" s="18">
        <v>4</v>
      </c>
      <c r="F940" s="18">
        <v>3</v>
      </c>
      <c r="G940" s="18">
        <v>1</v>
      </c>
      <c r="H940" s="18">
        <v>2</v>
      </c>
      <c r="I940" s="18">
        <v>6</v>
      </c>
      <c r="T940" s="3">
        <v>16</v>
      </c>
      <c r="U940" s="3">
        <v>8</v>
      </c>
      <c r="V940" s="3">
        <v>2</v>
      </c>
      <c r="X940" s="2" t="s">
        <v>1808</v>
      </c>
      <c r="Y940" s="18">
        <v>1</v>
      </c>
      <c r="Z940" s="18">
        <v>0</v>
      </c>
      <c r="AA940" s="18">
        <v>4</v>
      </c>
      <c r="AB940" s="18">
        <v>0</v>
      </c>
      <c r="AC940" s="18">
        <v>1</v>
      </c>
      <c r="AN940" s="3">
        <f t="shared" si="5"/>
        <v>6</v>
      </c>
      <c r="AO940" s="3">
        <v>9</v>
      </c>
      <c r="AP940" s="3">
        <v>5</v>
      </c>
      <c r="AR940" s="2" t="s">
        <v>1809</v>
      </c>
    </row>
    <row r="941" spans="1:44" ht="12.75" customHeight="1">
      <c r="A941" s="4">
        <f>DATE(92,5,21)</f>
        <v>33745</v>
      </c>
      <c r="B941" s="2" t="s">
        <v>239</v>
      </c>
      <c r="C941" s="2" t="s">
        <v>138</v>
      </c>
      <c r="D941" s="2" t="s">
        <v>258</v>
      </c>
      <c r="E941" s="18">
        <v>2</v>
      </c>
      <c r="F941" s="18">
        <v>0</v>
      </c>
      <c r="G941" s="18">
        <v>1</v>
      </c>
      <c r="H941" s="18">
        <v>0</v>
      </c>
      <c r="I941" s="18">
        <v>0</v>
      </c>
      <c r="J941" s="18">
        <v>7</v>
      </c>
      <c r="T941" s="3">
        <v>10</v>
      </c>
      <c r="U941" s="3">
        <v>13</v>
      </c>
      <c r="V941" s="3">
        <v>5</v>
      </c>
      <c r="X941" s="2" t="s">
        <v>1799</v>
      </c>
      <c r="Y941" s="18">
        <v>2</v>
      </c>
      <c r="Z941" s="18">
        <v>0</v>
      </c>
      <c r="AA941" s="18">
        <v>0</v>
      </c>
      <c r="AB941" s="18">
        <v>0</v>
      </c>
      <c r="AC941" s="18">
        <v>2</v>
      </c>
      <c r="AD941" s="18">
        <v>1</v>
      </c>
      <c r="AE941" s="18">
        <v>1</v>
      </c>
      <c r="AN941" s="3">
        <f t="shared" si="5"/>
        <v>6</v>
      </c>
      <c r="AO941" s="3">
        <v>9</v>
      </c>
      <c r="AP941" s="3">
        <v>1</v>
      </c>
      <c r="AR941" s="2" t="s">
        <v>1810</v>
      </c>
    </row>
    <row r="942" spans="1:44" ht="12.75" customHeight="1">
      <c r="A942" s="4">
        <f>DATE(92,5,26)</f>
        <v>33750</v>
      </c>
      <c r="B942" s="2" t="s">
        <v>239</v>
      </c>
      <c r="C942" s="2" t="s">
        <v>191</v>
      </c>
      <c r="D942" s="2" t="s">
        <v>258</v>
      </c>
      <c r="E942" s="18">
        <v>0</v>
      </c>
      <c r="F942" s="18">
        <v>0</v>
      </c>
      <c r="G942" s="18">
        <v>2</v>
      </c>
      <c r="H942" s="18">
        <v>3</v>
      </c>
      <c r="I942" s="18">
        <v>0</v>
      </c>
      <c r="T942" s="3">
        <v>5</v>
      </c>
      <c r="U942" s="3">
        <v>5</v>
      </c>
      <c r="V942" s="3">
        <v>4</v>
      </c>
      <c r="X942" s="2" t="s">
        <v>1811</v>
      </c>
      <c r="Y942" s="18">
        <v>2</v>
      </c>
      <c r="Z942" s="18">
        <v>9</v>
      </c>
      <c r="AA942" s="18">
        <v>2</v>
      </c>
      <c r="AB942" s="18">
        <v>2</v>
      </c>
      <c r="AC942" s="18" t="s">
        <v>162</v>
      </c>
      <c r="AN942" s="3">
        <f t="shared" si="5"/>
        <v>15</v>
      </c>
      <c r="AO942" s="3">
        <v>11</v>
      </c>
      <c r="AP942" s="3">
        <v>2</v>
      </c>
      <c r="AR942" s="2" t="s">
        <v>1812</v>
      </c>
    </row>
    <row r="943" ht="12.75" customHeight="1"/>
    <row r="944" spans="1:45" ht="12.75" customHeight="1">
      <c r="A944" s="4">
        <f>DATE(93,4,7)</f>
        <v>34066</v>
      </c>
      <c r="C944" s="2" t="s">
        <v>374</v>
      </c>
      <c r="E944" s="18">
        <v>7</v>
      </c>
      <c r="F944" s="18">
        <v>6</v>
      </c>
      <c r="G944" s="18">
        <v>0</v>
      </c>
      <c r="H944" s="18">
        <v>0</v>
      </c>
      <c r="I944" s="18">
        <v>2</v>
      </c>
      <c r="T944" s="3">
        <f aca="true" t="shared" si="6" ref="T944:T964">SUM(E944:S944)</f>
        <v>15</v>
      </c>
      <c r="U944" s="3">
        <v>8</v>
      </c>
      <c r="V944" s="3">
        <v>1</v>
      </c>
      <c r="X944" s="2" t="s">
        <v>1813</v>
      </c>
      <c r="Y944" s="18">
        <v>1</v>
      </c>
      <c r="Z944" s="18">
        <v>4</v>
      </c>
      <c r="AA944" s="18">
        <v>0</v>
      </c>
      <c r="AB944" s="18">
        <v>0</v>
      </c>
      <c r="AC944" s="18">
        <v>0</v>
      </c>
      <c r="AN944" s="3">
        <f aca="true" t="shared" si="7" ref="AN944:AN964">SUM(Y944:AM944)</f>
        <v>5</v>
      </c>
      <c r="AO944" s="3">
        <v>4</v>
      </c>
      <c r="AP944" s="3">
        <v>4</v>
      </c>
      <c r="AR944" s="2" t="s">
        <v>1814</v>
      </c>
      <c r="AS944" s="2" t="s">
        <v>1040</v>
      </c>
    </row>
    <row r="945" spans="1:46" ht="12.75" customHeight="1">
      <c r="A945" s="4">
        <f>DATE(93,4,8)</f>
        <v>34067</v>
      </c>
      <c r="C945" s="2" t="s">
        <v>392</v>
      </c>
      <c r="E945" s="18">
        <v>0</v>
      </c>
      <c r="F945" s="18">
        <v>1</v>
      </c>
      <c r="G945" s="18">
        <v>0</v>
      </c>
      <c r="H945" s="18">
        <v>3</v>
      </c>
      <c r="I945" s="18">
        <v>6</v>
      </c>
      <c r="J945" s="18">
        <v>1</v>
      </c>
      <c r="K945" s="18" t="s">
        <v>162</v>
      </c>
      <c r="T945" s="3">
        <f t="shared" si="6"/>
        <v>11</v>
      </c>
      <c r="U945" s="3">
        <v>13</v>
      </c>
      <c r="V945" s="3">
        <v>4</v>
      </c>
      <c r="X945" s="2" t="s">
        <v>1815</v>
      </c>
      <c r="Y945" s="18">
        <v>0</v>
      </c>
      <c r="Z945" s="18">
        <v>0</v>
      </c>
      <c r="AA945" s="18">
        <v>0</v>
      </c>
      <c r="AB945" s="18">
        <v>6</v>
      </c>
      <c r="AC945" s="18">
        <v>0</v>
      </c>
      <c r="AD945" s="18">
        <v>0</v>
      </c>
      <c r="AE945" s="18">
        <v>0</v>
      </c>
      <c r="AN945" s="3">
        <f t="shared" si="7"/>
        <v>6</v>
      </c>
      <c r="AO945" s="3">
        <v>5</v>
      </c>
      <c r="AP945" s="3">
        <v>3</v>
      </c>
      <c r="AR945" s="2" t="s">
        <v>1816</v>
      </c>
      <c r="AS945" s="2" t="s">
        <v>252</v>
      </c>
      <c r="AT945" s="2">
        <v>9</v>
      </c>
    </row>
    <row r="946" spans="1:44" ht="12.75" customHeight="1">
      <c r="A946" s="4">
        <v>34071</v>
      </c>
      <c r="B946" s="2" t="s">
        <v>152</v>
      </c>
      <c r="C946" s="2" t="s">
        <v>236</v>
      </c>
      <c r="E946" s="18">
        <v>1</v>
      </c>
      <c r="F946" s="18">
        <v>0</v>
      </c>
      <c r="G946" s="18">
        <v>1</v>
      </c>
      <c r="H946" s="18">
        <v>0</v>
      </c>
      <c r="I946" s="18">
        <v>0</v>
      </c>
      <c r="J946" s="18">
        <v>1</v>
      </c>
      <c r="K946" s="18">
        <v>0</v>
      </c>
      <c r="T946" s="3">
        <f t="shared" si="6"/>
        <v>3</v>
      </c>
      <c r="U946" s="3">
        <v>7</v>
      </c>
      <c r="V946" s="3">
        <v>1</v>
      </c>
      <c r="X946" s="2" t="s">
        <v>1818</v>
      </c>
      <c r="Y946" s="18">
        <v>0</v>
      </c>
      <c r="Z946" s="18">
        <v>3</v>
      </c>
      <c r="AA946" s="18">
        <v>3</v>
      </c>
      <c r="AB946" s="18">
        <v>0</v>
      </c>
      <c r="AC946" s="18">
        <v>0</v>
      </c>
      <c r="AD946" s="18">
        <v>1</v>
      </c>
      <c r="AE946" s="18" t="s">
        <v>162</v>
      </c>
      <c r="AN946" s="3">
        <f t="shared" si="7"/>
        <v>7</v>
      </c>
      <c r="AO946" s="3">
        <v>10</v>
      </c>
      <c r="AP946" s="3">
        <v>0</v>
      </c>
      <c r="AR946" s="2" t="s">
        <v>1819</v>
      </c>
    </row>
    <row r="947" spans="1:44" ht="12.75" customHeight="1">
      <c r="A947" s="4">
        <f>DATE(93,4,14)</f>
        <v>34073</v>
      </c>
      <c r="B947" s="2" t="s">
        <v>152</v>
      </c>
      <c r="C947" s="2" t="s">
        <v>379</v>
      </c>
      <c r="E947" s="18">
        <v>1</v>
      </c>
      <c r="F947" s="18">
        <v>11</v>
      </c>
      <c r="G947" s="18">
        <v>0</v>
      </c>
      <c r="H947" s="18">
        <v>0</v>
      </c>
      <c r="I947" s="18">
        <v>0</v>
      </c>
      <c r="T947" s="3">
        <f t="shared" si="6"/>
        <v>12</v>
      </c>
      <c r="U947" s="3">
        <v>13</v>
      </c>
      <c r="V947" s="3">
        <v>1</v>
      </c>
      <c r="X947" s="2" t="s">
        <v>1820</v>
      </c>
      <c r="Y947" s="18">
        <v>0</v>
      </c>
      <c r="Z947" s="18">
        <v>0</v>
      </c>
      <c r="AA947" s="18">
        <v>1</v>
      </c>
      <c r="AB947" s="18">
        <v>0</v>
      </c>
      <c r="AC947" s="18">
        <v>0</v>
      </c>
      <c r="AN947" s="3">
        <f t="shared" si="7"/>
        <v>1</v>
      </c>
      <c r="AO947" s="3">
        <v>2</v>
      </c>
      <c r="AP947" s="3">
        <v>3</v>
      </c>
      <c r="AR947" s="2" t="s">
        <v>1821</v>
      </c>
    </row>
    <row r="948" spans="1:44" ht="12.75" customHeight="1">
      <c r="A948" s="4">
        <f>DATE(93,4,19)</f>
        <v>34078</v>
      </c>
      <c r="C948" s="2" t="s">
        <v>174</v>
      </c>
      <c r="E948" s="18">
        <v>0</v>
      </c>
      <c r="F948" s="18">
        <v>1</v>
      </c>
      <c r="G948" s="18">
        <v>0</v>
      </c>
      <c r="H948" s="18">
        <v>0</v>
      </c>
      <c r="I948" s="18">
        <v>3</v>
      </c>
      <c r="J948" s="18">
        <v>1</v>
      </c>
      <c r="K948" s="18">
        <v>1</v>
      </c>
      <c r="T948" s="3">
        <f t="shared" si="6"/>
        <v>6</v>
      </c>
      <c r="U948" s="3">
        <v>8</v>
      </c>
      <c r="V948" s="3">
        <v>1</v>
      </c>
      <c r="X948" s="2" t="s">
        <v>1822</v>
      </c>
      <c r="Y948" s="18">
        <v>2</v>
      </c>
      <c r="Z948" s="18">
        <v>1</v>
      </c>
      <c r="AA948" s="18">
        <v>1</v>
      </c>
      <c r="AB948" s="18">
        <v>0</v>
      </c>
      <c r="AC948" s="18">
        <v>2</v>
      </c>
      <c r="AD948" s="18">
        <v>4</v>
      </c>
      <c r="AE948" s="18">
        <v>0</v>
      </c>
      <c r="AN948" s="3">
        <f t="shared" si="7"/>
        <v>10</v>
      </c>
      <c r="AO948" s="3">
        <v>13</v>
      </c>
      <c r="AP948" s="3">
        <v>2</v>
      </c>
      <c r="AR948" s="2" t="s">
        <v>1804</v>
      </c>
    </row>
    <row r="949" spans="1:44" ht="12.75" customHeight="1">
      <c r="A949" s="4">
        <f>DATE(93,4,23)</f>
        <v>34082</v>
      </c>
      <c r="C949" s="2" t="s">
        <v>305</v>
      </c>
      <c r="E949" s="18">
        <v>3</v>
      </c>
      <c r="F949" s="18">
        <v>0</v>
      </c>
      <c r="G949" s="18">
        <v>0</v>
      </c>
      <c r="H949" s="18">
        <v>0</v>
      </c>
      <c r="I949" s="18">
        <v>1</v>
      </c>
      <c r="J949" s="18">
        <v>4</v>
      </c>
      <c r="K949" s="18" t="s">
        <v>162</v>
      </c>
      <c r="T949" s="3">
        <f t="shared" si="6"/>
        <v>8</v>
      </c>
      <c r="U949" s="3">
        <v>7</v>
      </c>
      <c r="V949" s="3">
        <v>5</v>
      </c>
      <c r="X949" s="2" t="s">
        <v>1799</v>
      </c>
      <c r="Y949" s="18">
        <v>3</v>
      </c>
      <c r="Z949" s="18">
        <v>0</v>
      </c>
      <c r="AA949" s="18">
        <v>0</v>
      </c>
      <c r="AB949" s="18">
        <v>0</v>
      </c>
      <c r="AC949" s="18">
        <v>3</v>
      </c>
      <c r="AD949" s="18">
        <v>1</v>
      </c>
      <c r="AE949" s="18">
        <v>0</v>
      </c>
      <c r="AN949" s="3">
        <f t="shared" si="7"/>
        <v>7</v>
      </c>
      <c r="AO949" s="3">
        <v>8</v>
      </c>
      <c r="AP949" s="3">
        <v>1</v>
      </c>
      <c r="AR949" s="2" t="s">
        <v>1823</v>
      </c>
    </row>
    <row r="950" spans="1:44" ht="12.75" customHeight="1">
      <c r="A950" s="4">
        <f>DATE(93,4,24)</f>
        <v>34083</v>
      </c>
      <c r="B950" s="2" t="s">
        <v>152</v>
      </c>
      <c r="C950" s="2" t="s">
        <v>192</v>
      </c>
      <c r="E950" s="18">
        <v>5</v>
      </c>
      <c r="F950" s="18">
        <v>0</v>
      </c>
      <c r="G950" s="18">
        <v>0</v>
      </c>
      <c r="H950" s="18">
        <v>2</v>
      </c>
      <c r="I950" s="18">
        <v>1</v>
      </c>
      <c r="J950" s="18">
        <v>0</v>
      </c>
      <c r="K950" s="18">
        <v>0</v>
      </c>
      <c r="T950" s="3">
        <f t="shared" si="6"/>
        <v>8</v>
      </c>
      <c r="U950" s="3">
        <v>6</v>
      </c>
      <c r="V950" s="3">
        <v>3</v>
      </c>
      <c r="X950" s="2" t="s">
        <v>1824</v>
      </c>
      <c r="Y950" s="18">
        <v>0</v>
      </c>
      <c r="Z950" s="18">
        <v>0</v>
      </c>
      <c r="AA950" s="18">
        <v>2</v>
      </c>
      <c r="AB950" s="18">
        <v>1</v>
      </c>
      <c r="AC950" s="18">
        <v>0</v>
      </c>
      <c r="AD950" s="18">
        <v>1</v>
      </c>
      <c r="AE950" s="18">
        <v>0</v>
      </c>
      <c r="AN950" s="3">
        <f t="shared" si="7"/>
        <v>4</v>
      </c>
      <c r="AO950" s="3">
        <v>5</v>
      </c>
      <c r="AP950" s="3">
        <v>1</v>
      </c>
      <c r="AR950" s="2" t="s">
        <v>1825</v>
      </c>
    </row>
    <row r="951" spans="1:44" ht="12.75" customHeight="1">
      <c r="A951" s="4">
        <f>DATE(93,4,27)</f>
        <v>34086</v>
      </c>
      <c r="C951" s="2" t="s">
        <v>191</v>
      </c>
      <c r="E951" s="18">
        <v>0</v>
      </c>
      <c r="F951" s="18">
        <v>0</v>
      </c>
      <c r="G951" s="18">
        <v>1</v>
      </c>
      <c r="H951" s="18">
        <v>0</v>
      </c>
      <c r="I951" s="18">
        <v>0</v>
      </c>
      <c r="J951" s="18">
        <v>0</v>
      </c>
      <c r="K951" s="18">
        <v>2</v>
      </c>
      <c r="T951" s="3">
        <f t="shared" si="6"/>
        <v>3</v>
      </c>
      <c r="U951" s="3">
        <v>6</v>
      </c>
      <c r="V951" s="3">
        <v>3</v>
      </c>
      <c r="X951" s="2" t="s">
        <v>1826</v>
      </c>
      <c r="Y951" s="18">
        <v>2</v>
      </c>
      <c r="Z951" s="18">
        <v>1</v>
      </c>
      <c r="AA951" s="18">
        <v>0</v>
      </c>
      <c r="AB951" s="18">
        <v>0</v>
      </c>
      <c r="AC951" s="18">
        <v>4</v>
      </c>
      <c r="AD951" s="18">
        <v>1</v>
      </c>
      <c r="AE951" s="18">
        <v>0</v>
      </c>
      <c r="AN951" s="3">
        <f t="shared" si="7"/>
        <v>8</v>
      </c>
      <c r="AO951" s="3">
        <v>8</v>
      </c>
      <c r="AP951" s="3">
        <v>0</v>
      </c>
      <c r="AR951" s="2" t="s">
        <v>1827</v>
      </c>
    </row>
    <row r="952" spans="1:44" ht="12.75" customHeight="1">
      <c r="A952" s="4">
        <f>DATE(93,4,28)</f>
        <v>34087</v>
      </c>
      <c r="C952" s="2" t="s">
        <v>236</v>
      </c>
      <c r="E952" s="18">
        <v>1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T952" s="3">
        <f t="shared" si="6"/>
        <v>1</v>
      </c>
      <c r="U952" s="3">
        <v>4</v>
      </c>
      <c r="V952" s="3">
        <v>2</v>
      </c>
      <c r="X952" s="2" t="s">
        <v>1828</v>
      </c>
      <c r="Y952" s="18">
        <v>0</v>
      </c>
      <c r="Z952" s="18">
        <v>4</v>
      </c>
      <c r="AA952" s="18">
        <v>0</v>
      </c>
      <c r="AB952" s="18">
        <v>0</v>
      </c>
      <c r="AC952" s="18">
        <v>0</v>
      </c>
      <c r="AD952" s="18">
        <v>3</v>
      </c>
      <c r="AE952" s="18">
        <v>0</v>
      </c>
      <c r="AN952" s="3">
        <f t="shared" si="7"/>
        <v>7</v>
      </c>
      <c r="AO952" s="3">
        <v>8</v>
      </c>
      <c r="AP952" s="3">
        <v>0</v>
      </c>
      <c r="AR952" s="2" t="s">
        <v>1829</v>
      </c>
    </row>
    <row r="953" spans="1:44" ht="12.75" customHeight="1">
      <c r="A953" s="4">
        <f>DATE(93,4,30)</f>
        <v>34089</v>
      </c>
      <c r="B953" s="2" t="s">
        <v>152</v>
      </c>
      <c r="C953" s="2" t="s">
        <v>191</v>
      </c>
      <c r="E953" s="18">
        <v>1</v>
      </c>
      <c r="F953" s="18">
        <v>0</v>
      </c>
      <c r="G953" s="18">
        <v>1</v>
      </c>
      <c r="H953" s="18">
        <v>0</v>
      </c>
      <c r="I953" s="18">
        <v>1</v>
      </c>
      <c r="J953" s="18">
        <v>2</v>
      </c>
      <c r="K953" s="18">
        <v>1</v>
      </c>
      <c r="T953" s="3">
        <f t="shared" si="6"/>
        <v>6</v>
      </c>
      <c r="U953" s="3">
        <v>8</v>
      </c>
      <c r="V953" s="3">
        <v>1</v>
      </c>
      <c r="X953" s="2" t="s">
        <v>1824</v>
      </c>
      <c r="Y953" s="18">
        <v>0</v>
      </c>
      <c r="Z953" s="18">
        <v>0</v>
      </c>
      <c r="AA953" s="18">
        <v>0</v>
      </c>
      <c r="AB953" s="18">
        <v>0</v>
      </c>
      <c r="AC953" s="18">
        <v>0</v>
      </c>
      <c r="AD953" s="18">
        <v>1</v>
      </c>
      <c r="AE953" s="18">
        <v>0</v>
      </c>
      <c r="AN953" s="3">
        <f t="shared" si="7"/>
        <v>1</v>
      </c>
      <c r="AO953" s="3">
        <v>6</v>
      </c>
      <c r="AP953" s="3">
        <v>1</v>
      </c>
      <c r="AR953" s="2" t="s">
        <v>1830</v>
      </c>
    </row>
    <row r="954" spans="1:44" ht="12.75" customHeight="1">
      <c r="A954" s="4">
        <f>DATE(93,5,3)</f>
        <v>34092</v>
      </c>
      <c r="C954" s="2" t="s">
        <v>175</v>
      </c>
      <c r="E954" s="18">
        <v>1</v>
      </c>
      <c r="F954" s="18">
        <v>1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T954" s="3">
        <f t="shared" si="6"/>
        <v>2</v>
      </c>
      <c r="U954" s="3">
        <v>6</v>
      </c>
      <c r="V954" s="3">
        <v>3</v>
      </c>
      <c r="X954" s="2" t="s">
        <v>1799</v>
      </c>
      <c r="Y954" s="18">
        <v>0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  <c r="AE954" s="18">
        <v>3</v>
      </c>
      <c r="AN954" s="3">
        <f t="shared" si="7"/>
        <v>3</v>
      </c>
      <c r="AO954" s="3">
        <v>3</v>
      </c>
      <c r="AP954" s="3">
        <v>1</v>
      </c>
      <c r="AR954" s="2" t="s">
        <v>1772</v>
      </c>
    </row>
    <row r="955" spans="1:44" ht="12.75" customHeight="1">
      <c r="A955" s="4">
        <f>DATE(93,5,6)</f>
        <v>34095</v>
      </c>
      <c r="B955" s="2" t="s">
        <v>152</v>
      </c>
      <c r="C955" s="2" t="s">
        <v>392</v>
      </c>
      <c r="E955" s="18">
        <v>0</v>
      </c>
      <c r="F955" s="18">
        <v>0</v>
      </c>
      <c r="G955" s="18">
        <v>1</v>
      </c>
      <c r="H955" s="18">
        <v>0</v>
      </c>
      <c r="I955" s="18">
        <v>0</v>
      </c>
      <c r="J955" s="18">
        <v>1</v>
      </c>
      <c r="K955" s="18">
        <v>1</v>
      </c>
      <c r="L955" s="18">
        <v>0</v>
      </c>
      <c r="T955" s="3">
        <f t="shared" si="6"/>
        <v>3</v>
      </c>
      <c r="U955" s="3">
        <v>8</v>
      </c>
      <c r="V955" s="3">
        <v>2</v>
      </c>
      <c r="X955" s="2" t="s">
        <v>1831</v>
      </c>
      <c r="Y955" s="18">
        <v>0</v>
      </c>
      <c r="Z955" s="18">
        <v>0</v>
      </c>
      <c r="AA955" s="18">
        <v>0</v>
      </c>
      <c r="AB955" s="18">
        <v>0</v>
      </c>
      <c r="AC955" s="18">
        <v>0</v>
      </c>
      <c r="AD955" s="18">
        <v>3</v>
      </c>
      <c r="AE955" s="18">
        <v>0</v>
      </c>
      <c r="AF955" s="18">
        <v>1</v>
      </c>
      <c r="AN955" s="3">
        <f t="shared" si="7"/>
        <v>4</v>
      </c>
      <c r="AO955" s="3">
        <v>7</v>
      </c>
      <c r="AP955" s="3">
        <v>2</v>
      </c>
      <c r="AR955" s="2" t="s">
        <v>1832</v>
      </c>
    </row>
    <row r="956" spans="1:44" ht="12.75" customHeight="1">
      <c r="A956" s="4">
        <f>DATE(93,5,8)</f>
        <v>34097</v>
      </c>
      <c r="B956" s="2" t="s">
        <v>152</v>
      </c>
      <c r="C956" s="2" t="s">
        <v>183</v>
      </c>
      <c r="E956" s="18">
        <v>1</v>
      </c>
      <c r="F956" s="18">
        <v>8</v>
      </c>
      <c r="G956" s="18">
        <v>0</v>
      </c>
      <c r="H956" s="18">
        <v>1</v>
      </c>
      <c r="I956" s="18">
        <v>1</v>
      </c>
      <c r="T956" s="3">
        <f t="shared" si="6"/>
        <v>11</v>
      </c>
      <c r="U956" s="3">
        <v>14</v>
      </c>
      <c r="V956" s="3">
        <v>0</v>
      </c>
      <c r="X956" s="2" t="s">
        <v>1833</v>
      </c>
      <c r="Y956" s="18">
        <v>0</v>
      </c>
      <c r="Z956" s="18">
        <v>0</v>
      </c>
      <c r="AA956" s="18">
        <v>0</v>
      </c>
      <c r="AB956" s="18">
        <v>0</v>
      </c>
      <c r="AC956" s="18">
        <v>0</v>
      </c>
      <c r="AN956" s="3">
        <f t="shared" si="7"/>
        <v>0</v>
      </c>
      <c r="AO956" s="3">
        <v>1</v>
      </c>
      <c r="AP956" s="3">
        <v>1</v>
      </c>
      <c r="AR956" s="2" t="s">
        <v>1834</v>
      </c>
    </row>
    <row r="957" spans="1:44" ht="12.75" customHeight="1">
      <c r="A957" s="4">
        <f>DATE(93,5,10)</f>
        <v>34099</v>
      </c>
      <c r="C957" s="2" t="s">
        <v>367</v>
      </c>
      <c r="E957" s="18">
        <v>2</v>
      </c>
      <c r="F957" s="18">
        <v>3</v>
      </c>
      <c r="G957" s="18">
        <v>0</v>
      </c>
      <c r="H957" s="18">
        <v>1</v>
      </c>
      <c r="I957" s="18">
        <v>3</v>
      </c>
      <c r="J957" s="18">
        <v>0</v>
      </c>
      <c r="K957" s="18" t="s">
        <v>162</v>
      </c>
      <c r="T957" s="3">
        <f t="shared" si="6"/>
        <v>9</v>
      </c>
      <c r="U957" s="3">
        <v>13</v>
      </c>
      <c r="V957" s="3">
        <v>3</v>
      </c>
      <c r="X957" s="2" t="s">
        <v>1835</v>
      </c>
      <c r="Y957" s="18">
        <v>0</v>
      </c>
      <c r="Z957" s="18">
        <v>0</v>
      </c>
      <c r="AA957" s="18">
        <v>0</v>
      </c>
      <c r="AB957" s="18">
        <v>0</v>
      </c>
      <c r="AC957" s="18">
        <v>1</v>
      </c>
      <c r="AD957" s="18">
        <v>2</v>
      </c>
      <c r="AE957" s="18">
        <v>0</v>
      </c>
      <c r="AN957" s="3">
        <f t="shared" si="7"/>
        <v>3</v>
      </c>
      <c r="AO957" s="3">
        <v>4</v>
      </c>
      <c r="AP957" s="3">
        <v>3</v>
      </c>
      <c r="AR957" s="2" t="s">
        <v>1836</v>
      </c>
    </row>
    <row r="958" spans="1:44" ht="12.75" customHeight="1">
      <c r="A958" s="4">
        <f>DATE(93,5,11)</f>
        <v>34100</v>
      </c>
      <c r="B958" s="2" t="s">
        <v>152</v>
      </c>
      <c r="C958" s="2" t="s">
        <v>305</v>
      </c>
      <c r="E958" s="18">
        <v>0</v>
      </c>
      <c r="F958" s="18">
        <v>0</v>
      </c>
      <c r="G958" s="18">
        <v>4</v>
      </c>
      <c r="H958" s="18">
        <v>0</v>
      </c>
      <c r="I958" s="18">
        <v>0</v>
      </c>
      <c r="J958" s="18">
        <v>0</v>
      </c>
      <c r="K958" s="18">
        <v>5</v>
      </c>
      <c r="T958" s="3">
        <f t="shared" si="6"/>
        <v>9</v>
      </c>
      <c r="U958" s="3">
        <v>11</v>
      </c>
      <c r="V958" s="3">
        <v>3</v>
      </c>
      <c r="X958" s="2" t="s">
        <v>1837</v>
      </c>
      <c r="Y958" s="18">
        <v>1</v>
      </c>
      <c r="Z958" s="18">
        <v>0</v>
      </c>
      <c r="AA958" s="18">
        <v>0</v>
      </c>
      <c r="AB958" s="18">
        <v>7</v>
      </c>
      <c r="AC958" s="18">
        <v>2</v>
      </c>
      <c r="AD958" s="18">
        <v>0</v>
      </c>
      <c r="AE958" s="18" t="s">
        <v>162</v>
      </c>
      <c r="AN958" s="3">
        <f t="shared" si="7"/>
        <v>10</v>
      </c>
      <c r="AO958" s="3">
        <v>14</v>
      </c>
      <c r="AP958" s="3">
        <v>1</v>
      </c>
      <c r="AR958" s="2" t="s">
        <v>1838</v>
      </c>
    </row>
    <row r="959" spans="1:44" ht="12.75" customHeight="1">
      <c r="A959" s="4">
        <f>DATE(93,5,12)</f>
        <v>34101</v>
      </c>
      <c r="C959" s="2" t="s">
        <v>379</v>
      </c>
      <c r="E959" s="18">
        <v>2</v>
      </c>
      <c r="F959" s="18">
        <v>3</v>
      </c>
      <c r="G959" s="18">
        <v>0</v>
      </c>
      <c r="H959" s="18">
        <v>1</v>
      </c>
      <c r="I959" s="18">
        <v>0</v>
      </c>
      <c r="J959" s="18">
        <v>4</v>
      </c>
      <c r="K959" s="18" t="s">
        <v>162</v>
      </c>
      <c r="T959" s="3">
        <f t="shared" si="6"/>
        <v>10</v>
      </c>
      <c r="U959" s="3">
        <v>14</v>
      </c>
      <c r="V959" s="3">
        <v>2</v>
      </c>
      <c r="X959" s="2" t="s">
        <v>1824</v>
      </c>
      <c r="Y959" s="18">
        <v>0</v>
      </c>
      <c r="Z959" s="18">
        <v>0</v>
      </c>
      <c r="AA959" s="18">
        <v>0</v>
      </c>
      <c r="AB959" s="18">
        <v>1</v>
      </c>
      <c r="AC959" s="18">
        <v>0</v>
      </c>
      <c r="AD959" s="18">
        <v>2</v>
      </c>
      <c r="AE959" s="18">
        <v>0</v>
      </c>
      <c r="AN959" s="3">
        <f t="shared" si="7"/>
        <v>3</v>
      </c>
      <c r="AO959" s="3">
        <v>5</v>
      </c>
      <c r="AP959" s="3">
        <v>3</v>
      </c>
      <c r="AR959" s="2" t="s">
        <v>1839</v>
      </c>
    </row>
    <row r="960" spans="1:44" ht="12.75" customHeight="1">
      <c r="A960" s="4">
        <f>DATE(93,5,13)</f>
        <v>34102</v>
      </c>
      <c r="B960" s="2" t="s">
        <v>152</v>
      </c>
      <c r="C960" s="2" t="s">
        <v>374</v>
      </c>
      <c r="E960" s="18">
        <v>0</v>
      </c>
      <c r="F960" s="18">
        <v>0</v>
      </c>
      <c r="G960" s="18">
        <v>0</v>
      </c>
      <c r="H960" s="18">
        <v>0</v>
      </c>
      <c r="I960" s="18">
        <v>0</v>
      </c>
      <c r="J960" s="18">
        <v>3</v>
      </c>
      <c r="K960" s="18">
        <v>6</v>
      </c>
      <c r="T960" s="3">
        <f t="shared" si="6"/>
        <v>9</v>
      </c>
      <c r="U960" s="3">
        <v>10</v>
      </c>
      <c r="V960" s="3">
        <v>2</v>
      </c>
      <c r="X960" s="2" t="s">
        <v>1840</v>
      </c>
      <c r="Y960" s="18">
        <v>0</v>
      </c>
      <c r="Z960" s="18">
        <v>1</v>
      </c>
      <c r="AA960" s="18">
        <v>1</v>
      </c>
      <c r="AB960" s="18">
        <v>0</v>
      </c>
      <c r="AC960" s="18">
        <v>0</v>
      </c>
      <c r="AD960" s="18">
        <v>0</v>
      </c>
      <c r="AE960" s="18">
        <v>1</v>
      </c>
      <c r="AN960" s="3">
        <f t="shared" si="7"/>
        <v>3</v>
      </c>
      <c r="AO960" s="3">
        <v>9</v>
      </c>
      <c r="AP960" s="3">
        <v>0</v>
      </c>
      <c r="AR960" s="2" t="s">
        <v>1841</v>
      </c>
    </row>
    <row r="961" spans="1:44" ht="12.75" customHeight="1">
      <c r="A961" s="4">
        <f>DATE(93,5,14)</f>
        <v>34103</v>
      </c>
      <c r="B961" s="2" t="s">
        <v>152</v>
      </c>
      <c r="C961" s="2" t="s">
        <v>137</v>
      </c>
      <c r="E961" s="18">
        <v>3</v>
      </c>
      <c r="F961" s="18">
        <v>0</v>
      </c>
      <c r="G961" s="18">
        <v>1</v>
      </c>
      <c r="H961" s="18">
        <v>1</v>
      </c>
      <c r="I961" s="18">
        <v>0</v>
      </c>
      <c r="J961" s="18">
        <v>1</v>
      </c>
      <c r="K961" s="18">
        <v>0</v>
      </c>
      <c r="T961" s="3">
        <f t="shared" si="6"/>
        <v>6</v>
      </c>
      <c r="U961" s="3">
        <v>9</v>
      </c>
      <c r="V961" s="3">
        <v>2</v>
      </c>
      <c r="X961" s="2" t="s">
        <v>1799</v>
      </c>
      <c r="Y961" s="18">
        <v>0</v>
      </c>
      <c r="Z961" s="18">
        <v>0</v>
      </c>
      <c r="AA961" s="18">
        <v>0</v>
      </c>
      <c r="AB961" s="18">
        <v>1</v>
      </c>
      <c r="AC961" s="18">
        <v>1</v>
      </c>
      <c r="AD961" s="18">
        <v>0</v>
      </c>
      <c r="AE961" s="18">
        <v>1</v>
      </c>
      <c r="AN961" s="3">
        <f t="shared" si="7"/>
        <v>3</v>
      </c>
      <c r="AO961" s="3">
        <v>6</v>
      </c>
      <c r="AP961" s="3">
        <v>0</v>
      </c>
      <c r="AR961" s="2" t="s">
        <v>1842</v>
      </c>
    </row>
    <row r="962" spans="1:44" ht="12.75" customHeight="1">
      <c r="A962" s="4">
        <f>DATE(93,5,19)</f>
        <v>34108</v>
      </c>
      <c r="C962" s="2" t="s">
        <v>174</v>
      </c>
      <c r="E962" s="18">
        <v>0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T962" s="3">
        <f t="shared" si="6"/>
        <v>0</v>
      </c>
      <c r="U962" s="3">
        <v>1</v>
      </c>
      <c r="V962" s="3">
        <v>3</v>
      </c>
      <c r="X962" s="2" t="s">
        <v>1843</v>
      </c>
      <c r="Y962" s="18">
        <v>0</v>
      </c>
      <c r="Z962" s="18">
        <v>0</v>
      </c>
      <c r="AA962" s="18">
        <v>0</v>
      </c>
      <c r="AB962" s="18">
        <v>4</v>
      </c>
      <c r="AC962" s="18">
        <v>0</v>
      </c>
      <c r="AD962" s="18">
        <v>6</v>
      </c>
      <c r="AN962" s="3">
        <f t="shared" si="7"/>
        <v>10</v>
      </c>
      <c r="AO962" s="3">
        <v>9</v>
      </c>
      <c r="AP962" s="3">
        <v>0</v>
      </c>
      <c r="AR962" s="2" t="s">
        <v>1844</v>
      </c>
    </row>
    <row r="963" spans="1:44" ht="12.75" customHeight="1">
      <c r="A963" s="4">
        <f>DATE(93,5,20)</f>
        <v>34109</v>
      </c>
      <c r="B963" s="2" t="s">
        <v>152</v>
      </c>
      <c r="C963" s="2" t="s">
        <v>138</v>
      </c>
      <c r="E963" s="18">
        <v>2</v>
      </c>
      <c r="F963" s="18">
        <v>0</v>
      </c>
      <c r="G963" s="18">
        <v>2</v>
      </c>
      <c r="H963" s="18">
        <v>3</v>
      </c>
      <c r="I963" s="18">
        <v>3</v>
      </c>
      <c r="T963" s="3">
        <f t="shared" si="6"/>
        <v>10</v>
      </c>
      <c r="U963" s="3">
        <v>11</v>
      </c>
      <c r="V963" s="3">
        <v>0</v>
      </c>
      <c r="X963" s="2" t="s">
        <v>1833</v>
      </c>
      <c r="Y963" s="18">
        <v>0</v>
      </c>
      <c r="Z963" s="18">
        <v>0</v>
      </c>
      <c r="AA963" s="18">
        <v>0</v>
      </c>
      <c r="AB963" s="18">
        <v>0</v>
      </c>
      <c r="AC963" s="18">
        <v>0</v>
      </c>
      <c r="AN963" s="3">
        <f t="shared" si="7"/>
        <v>0</v>
      </c>
      <c r="AO963" s="3">
        <v>2</v>
      </c>
      <c r="AP963" s="3">
        <v>2</v>
      </c>
      <c r="AR963" s="2" t="s">
        <v>1845</v>
      </c>
    </row>
    <row r="964" spans="1:44" ht="12.75" customHeight="1">
      <c r="A964" s="4">
        <f>DATE(93,5,27)</f>
        <v>34116</v>
      </c>
      <c r="B964" s="2" t="s">
        <v>239</v>
      </c>
      <c r="C964" s="2" t="s">
        <v>183</v>
      </c>
      <c r="D964" s="2" t="s">
        <v>258</v>
      </c>
      <c r="E964" s="18">
        <v>1</v>
      </c>
      <c r="F964" s="18">
        <v>0</v>
      </c>
      <c r="G964" s="18">
        <v>0</v>
      </c>
      <c r="H964" s="18">
        <v>0</v>
      </c>
      <c r="I964" s="18">
        <v>0</v>
      </c>
      <c r="J964" s="18">
        <v>0</v>
      </c>
      <c r="K964" s="18">
        <v>0</v>
      </c>
      <c r="T964" s="3">
        <f t="shared" si="6"/>
        <v>1</v>
      </c>
      <c r="U964" s="3">
        <v>4</v>
      </c>
      <c r="V964" s="3">
        <v>3</v>
      </c>
      <c r="X964" s="2" t="s">
        <v>1799</v>
      </c>
      <c r="Y964" s="18">
        <v>2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  <c r="AE964" s="18">
        <v>0</v>
      </c>
      <c r="AN964" s="3">
        <f t="shared" si="7"/>
        <v>2</v>
      </c>
      <c r="AO964" s="3">
        <v>6</v>
      </c>
      <c r="AP964" s="3">
        <v>0</v>
      </c>
      <c r="AR964" s="2" t="s">
        <v>1846</v>
      </c>
    </row>
    <row r="965" ht="12.75" customHeight="1"/>
    <row r="966" spans="1:45" ht="12.75" customHeight="1">
      <c r="A966" s="4">
        <f>DATE(94,4,8)</f>
        <v>34432</v>
      </c>
      <c r="B966" s="2" t="s">
        <v>152</v>
      </c>
      <c r="C966" s="2" t="s">
        <v>374</v>
      </c>
      <c r="E966" s="18">
        <v>3</v>
      </c>
      <c r="F966" s="18">
        <v>0</v>
      </c>
      <c r="G966" s="18">
        <v>3</v>
      </c>
      <c r="H966" s="18">
        <v>1</v>
      </c>
      <c r="I966" s="18">
        <v>2</v>
      </c>
      <c r="J966" s="18">
        <v>0</v>
      </c>
      <c r="K966" s="18">
        <v>0</v>
      </c>
      <c r="T966" s="3">
        <f aca="true" t="shared" si="8" ref="T966:T987">SUM(E966:S966)</f>
        <v>9</v>
      </c>
      <c r="U966" s="3">
        <v>9</v>
      </c>
      <c r="V966" s="3">
        <v>0</v>
      </c>
      <c r="X966" s="2" t="s">
        <v>1824</v>
      </c>
      <c r="Y966" s="18">
        <v>0</v>
      </c>
      <c r="Z966" s="18">
        <v>0</v>
      </c>
      <c r="AA966" s="18">
        <v>1</v>
      </c>
      <c r="AB966" s="18">
        <v>0</v>
      </c>
      <c r="AC966" s="18">
        <v>2</v>
      </c>
      <c r="AD966" s="18">
        <v>0</v>
      </c>
      <c r="AE966" s="18">
        <v>0</v>
      </c>
      <c r="AN966" s="3">
        <f aca="true" t="shared" si="9" ref="AN966:AN987">SUM(Y966:AM966)</f>
        <v>3</v>
      </c>
      <c r="AO966" s="3">
        <v>4</v>
      </c>
      <c r="AP966" s="3">
        <v>2</v>
      </c>
      <c r="AR966" s="2" t="s">
        <v>1847</v>
      </c>
      <c r="AS966" s="2" t="s">
        <v>1848</v>
      </c>
    </row>
    <row r="967" spans="1:46" ht="12.75" customHeight="1">
      <c r="A967" s="4">
        <f>DATE(94,4,9)</f>
        <v>34433</v>
      </c>
      <c r="B967" s="2" t="s">
        <v>152</v>
      </c>
      <c r="C967" s="2" t="s">
        <v>367</v>
      </c>
      <c r="E967" s="18">
        <v>1</v>
      </c>
      <c r="F967" s="18">
        <v>0</v>
      </c>
      <c r="G967" s="18">
        <v>3</v>
      </c>
      <c r="H967" s="18">
        <v>0</v>
      </c>
      <c r="I967" s="18">
        <v>0</v>
      </c>
      <c r="J967" s="18">
        <v>0</v>
      </c>
      <c r="K967" s="18">
        <v>0</v>
      </c>
      <c r="L967" s="18">
        <v>2</v>
      </c>
      <c r="T967" s="3">
        <f t="shared" si="8"/>
        <v>6</v>
      </c>
      <c r="U967" s="3">
        <v>11</v>
      </c>
      <c r="V967" s="3">
        <v>0</v>
      </c>
      <c r="X967" s="2" t="s">
        <v>1849</v>
      </c>
      <c r="Y967" s="18">
        <v>1</v>
      </c>
      <c r="Z967" s="18">
        <v>0</v>
      </c>
      <c r="AA967" s="18">
        <v>0</v>
      </c>
      <c r="AB967" s="18">
        <v>2</v>
      </c>
      <c r="AC967" s="18">
        <v>1</v>
      </c>
      <c r="AD967" s="18">
        <v>0</v>
      </c>
      <c r="AE967" s="18">
        <v>0</v>
      </c>
      <c r="AF967" s="18">
        <v>0</v>
      </c>
      <c r="AN967" s="3">
        <f t="shared" si="9"/>
        <v>4</v>
      </c>
      <c r="AO967" s="3">
        <v>4</v>
      </c>
      <c r="AP967" s="3">
        <v>2</v>
      </c>
      <c r="AR967" s="2" t="s">
        <v>1850</v>
      </c>
      <c r="AS967" s="2" t="s">
        <v>136</v>
      </c>
      <c r="AT967" s="2">
        <v>4</v>
      </c>
    </row>
    <row r="968" spans="1:45" ht="12.75" customHeight="1">
      <c r="A968" s="4">
        <f>DATE(94,4,14)</f>
        <v>34438</v>
      </c>
      <c r="C968" s="2" t="s">
        <v>379</v>
      </c>
      <c r="E968" s="18">
        <v>1</v>
      </c>
      <c r="F968" s="18">
        <v>1</v>
      </c>
      <c r="G968" s="18">
        <v>0</v>
      </c>
      <c r="H968" s="18">
        <v>2</v>
      </c>
      <c r="I968" s="18">
        <v>4</v>
      </c>
      <c r="J968" s="18">
        <v>1</v>
      </c>
      <c r="K968" s="18" t="s">
        <v>162</v>
      </c>
      <c r="T968" s="3">
        <f t="shared" si="8"/>
        <v>9</v>
      </c>
      <c r="U968" s="3">
        <v>9</v>
      </c>
      <c r="V968" s="3">
        <v>0</v>
      </c>
      <c r="X968" s="2" t="s">
        <v>1824</v>
      </c>
      <c r="Y968" s="18">
        <v>1</v>
      </c>
      <c r="Z968" s="18">
        <v>0</v>
      </c>
      <c r="AA968" s="18">
        <v>1</v>
      </c>
      <c r="AB968" s="18">
        <v>0</v>
      </c>
      <c r="AC968" s="18">
        <v>0</v>
      </c>
      <c r="AD968" s="18">
        <v>0</v>
      </c>
      <c r="AE968" s="18">
        <v>0</v>
      </c>
      <c r="AN968" s="3">
        <f t="shared" si="9"/>
        <v>2</v>
      </c>
      <c r="AO968" s="3">
        <v>7</v>
      </c>
      <c r="AP968" s="3">
        <v>2</v>
      </c>
      <c r="AR968" s="2" t="s">
        <v>1851</v>
      </c>
      <c r="AS968" s="2" t="s">
        <v>1069</v>
      </c>
    </row>
    <row r="969" spans="1:44" ht="12.75" customHeight="1">
      <c r="A969" s="4">
        <f>DATE(94,4,15)</f>
        <v>34439</v>
      </c>
      <c r="B969" s="2" t="s">
        <v>152</v>
      </c>
      <c r="C969" s="2" t="s">
        <v>236</v>
      </c>
      <c r="E969" s="18">
        <v>4</v>
      </c>
      <c r="F969" s="18">
        <v>0</v>
      </c>
      <c r="G969" s="18">
        <v>1</v>
      </c>
      <c r="H969" s="18">
        <v>0</v>
      </c>
      <c r="I969" s="18">
        <v>2</v>
      </c>
      <c r="J969" s="18">
        <v>5</v>
      </c>
      <c r="K969" s="18">
        <v>6</v>
      </c>
      <c r="T969" s="3">
        <f t="shared" si="8"/>
        <v>18</v>
      </c>
      <c r="U969" s="3">
        <v>13</v>
      </c>
      <c r="V969" s="3">
        <v>1</v>
      </c>
      <c r="X969" s="2" t="s">
        <v>1796</v>
      </c>
      <c r="Y969" s="18">
        <v>0</v>
      </c>
      <c r="Z969" s="18">
        <v>0</v>
      </c>
      <c r="AA969" s="18">
        <v>0</v>
      </c>
      <c r="AB969" s="18">
        <v>3</v>
      </c>
      <c r="AC969" s="18">
        <v>0</v>
      </c>
      <c r="AD969" s="18">
        <v>1</v>
      </c>
      <c r="AE969" s="18">
        <v>1</v>
      </c>
      <c r="AN969" s="3">
        <f t="shared" si="9"/>
        <v>5</v>
      </c>
      <c r="AO969" s="3">
        <v>6</v>
      </c>
      <c r="AP969" s="3">
        <v>6</v>
      </c>
      <c r="AR969" s="2" t="s">
        <v>1852</v>
      </c>
    </row>
    <row r="970" spans="1:44" ht="12.75" customHeight="1">
      <c r="A970" s="4">
        <f>DATE(94,4,18)</f>
        <v>34442</v>
      </c>
      <c r="C970" s="2" t="s">
        <v>174</v>
      </c>
      <c r="E970" s="18">
        <v>3</v>
      </c>
      <c r="F970" s="18">
        <v>2</v>
      </c>
      <c r="G970" s="18">
        <v>0</v>
      </c>
      <c r="H970" s="18">
        <v>1</v>
      </c>
      <c r="I970" s="18">
        <v>1</v>
      </c>
      <c r="J970" s="18">
        <v>4</v>
      </c>
      <c r="K970" s="18" t="s">
        <v>162</v>
      </c>
      <c r="T970" s="3">
        <f t="shared" si="8"/>
        <v>11</v>
      </c>
      <c r="U970" s="3">
        <v>12</v>
      </c>
      <c r="V970" s="3">
        <v>1</v>
      </c>
      <c r="X970" s="2" t="s">
        <v>1853</v>
      </c>
      <c r="Y970" s="18">
        <v>0</v>
      </c>
      <c r="Z970" s="18">
        <v>0</v>
      </c>
      <c r="AA970" s="18">
        <v>4</v>
      </c>
      <c r="AB970" s="18">
        <v>0</v>
      </c>
      <c r="AC970" s="18">
        <v>0</v>
      </c>
      <c r="AD970" s="18">
        <v>2</v>
      </c>
      <c r="AE970" s="18">
        <v>0</v>
      </c>
      <c r="AN970" s="3">
        <f t="shared" si="9"/>
        <v>6</v>
      </c>
      <c r="AO970" s="3">
        <v>7</v>
      </c>
      <c r="AP970" s="3">
        <v>2</v>
      </c>
      <c r="AR970" s="2" t="s">
        <v>1854</v>
      </c>
    </row>
    <row r="971" spans="1:44" ht="12.75" customHeight="1">
      <c r="A971" s="4">
        <f>DATE(94,4,19)</f>
        <v>34443</v>
      </c>
      <c r="C971" s="2" t="s">
        <v>191</v>
      </c>
      <c r="E971" s="18">
        <v>0</v>
      </c>
      <c r="F971" s="18">
        <v>0</v>
      </c>
      <c r="G971" s="18">
        <v>0</v>
      </c>
      <c r="H971" s="18">
        <v>1</v>
      </c>
      <c r="I971" s="18">
        <v>0</v>
      </c>
      <c r="J971" s="18">
        <v>0</v>
      </c>
      <c r="K971" s="18">
        <v>0</v>
      </c>
      <c r="T971" s="3">
        <f t="shared" si="8"/>
        <v>1</v>
      </c>
      <c r="U971" s="3">
        <v>2</v>
      </c>
      <c r="V971" s="3">
        <v>0</v>
      </c>
      <c r="X971" s="2" t="s">
        <v>1824</v>
      </c>
      <c r="Y971" s="18">
        <v>0</v>
      </c>
      <c r="Z971" s="18">
        <v>0</v>
      </c>
      <c r="AA971" s="18">
        <v>1</v>
      </c>
      <c r="AB971" s="18">
        <v>0</v>
      </c>
      <c r="AC971" s="18">
        <v>1</v>
      </c>
      <c r="AD971" s="18">
        <v>0</v>
      </c>
      <c r="AE971" s="18">
        <v>0</v>
      </c>
      <c r="AN971" s="3">
        <f t="shared" si="9"/>
        <v>2</v>
      </c>
      <c r="AO971" s="3">
        <v>7</v>
      </c>
      <c r="AP971" s="3">
        <v>0</v>
      </c>
      <c r="AR971" s="2" t="s">
        <v>1855</v>
      </c>
    </row>
    <row r="972" spans="1:44" ht="12.75" customHeight="1">
      <c r="A972" s="4">
        <f>DATE(94,4,20)</f>
        <v>34444</v>
      </c>
      <c r="C972" s="2" t="s">
        <v>137</v>
      </c>
      <c r="E972" s="18">
        <v>0</v>
      </c>
      <c r="F972" s="18">
        <v>0</v>
      </c>
      <c r="G972" s="18">
        <v>5</v>
      </c>
      <c r="H972" s="18">
        <v>0</v>
      </c>
      <c r="I972" s="18">
        <v>5</v>
      </c>
      <c r="T972" s="3">
        <f t="shared" si="8"/>
        <v>10</v>
      </c>
      <c r="U972" s="3">
        <v>9</v>
      </c>
      <c r="V972" s="3">
        <v>0</v>
      </c>
      <c r="X972" s="2" t="s">
        <v>1856</v>
      </c>
      <c r="Y972" s="18">
        <v>0</v>
      </c>
      <c r="Z972" s="18">
        <v>0</v>
      </c>
      <c r="AA972" s="18">
        <v>0</v>
      </c>
      <c r="AB972" s="18">
        <v>0</v>
      </c>
      <c r="AC972" s="18">
        <v>0</v>
      </c>
      <c r="AN972" s="3">
        <f t="shared" si="9"/>
        <v>0</v>
      </c>
      <c r="AO972" s="3">
        <v>1</v>
      </c>
      <c r="AP972" s="3">
        <v>2</v>
      </c>
      <c r="AR972" s="2" t="s">
        <v>1857</v>
      </c>
    </row>
    <row r="973" spans="1:44" ht="12.75" customHeight="1">
      <c r="A973" s="4">
        <f>DATE(94,4,21)</f>
        <v>34445</v>
      </c>
      <c r="C973" s="2" t="s">
        <v>392</v>
      </c>
      <c r="E973" s="18">
        <v>0</v>
      </c>
      <c r="F973" s="18">
        <v>1</v>
      </c>
      <c r="G973" s="18">
        <v>0</v>
      </c>
      <c r="H973" s="18">
        <v>0</v>
      </c>
      <c r="I973" s="18">
        <v>3</v>
      </c>
      <c r="J973" s="18">
        <v>0</v>
      </c>
      <c r="K973" s="18">
        <v>5</v>
      </c>
      <c r="L973" s="18">
        <v>4</v>
      </c>
      <c r="T973" s="3">
        <f t="shared" si="8"/>
        <v>13</v>
      </c>
      <c r="U973" s="3">
        <v>8</v>
      </c>
      <c r="V973" s="3">
        <v>5</v>
      </c>
      <c r="X973" s="2" t="s">
        <v>1858</v>
      </c>
      <c r="Y973" s="18">
        <v>2</v>
      </c>
      <c r="Z973" s="18">
        <v>1</v>
      </c>
      <c r="AA973" s="18">
        <v>0</v>
      </c>
      <c r="AB973" s="18">
        <v>6</v>
      </c>
      <c r="AC973" s="18">
        <v>0</v>
      </c>
      <c r="AD973" s="18">
        <v>0</v>
      </c>
      <c r="AE973" s="18">
        <v>0</v>
      </c>
      <c r="AF973" s="18">
        <v>3</v>
      </c>
      <c r="AN973" s="3">
        <f t="shared" si="9"/>
        <v>12</v>
      </c>
      <c r="AO973" s="3">
        <v>7</v>
      </c>
      <c r="AP973" s="3">
        <v>2</v>
      </c>
      <c r="AR973" s="2" t="s">
        <v>1859</v>
      </c>
    </row>
    <row r="974" spans="1:44" ht="12.75" customHeight="1">
      <c r="A974" s="4">
        <f>DATE(94,4,22)</f>
        <v>34446</v>
      </c>
      <c r="B974" s="2" t="s">
        <v>152</v>
      </c>
      <c r="C974" s="2" t="s">
        <v>175</v>
      </c>
      <c r="E974" s="18">
        <v>0</v>
      </c>
      <c r="F974" s="18">
        <v>0</v>
      </c>
      <c r="G974" s="18">
        <v>0</v>
      </c>
      <c r="H974" s="18">
        <v>0</v>
      </c>
      <c r="I974" s="18">
        <v>0</v>
      </c>
      <c r="J974" s="18">
        <v>2</v>
      </c>
      <c r="K974" s="18">
        <v>0</v>
      </c>
      <c r="L974" s="18">
        <v>1</v>
      </c>
      <c r="T974" s="3">
        <f t="shared" si="8"/>
        <v>3</v>
      </c>
      <c r="U974" s="3">
        <v>4</v>
      </c>
      <c r="V974" s="3">
        <v>3</v>
      </c>
      <c r="X974" s="2" t="s">
        <v>1853</v>
      </c>
      <c r="Y974" s="18">
        <v>0</v>
      </c>
      <c r="Z974" s="18">
        <v>0</v>
      </c>
      <c r="AA974" s="18">
        <v>0</v>
      </c>
      <c r="AB974" s="18">
        <v>2</v>
      </c>
      <c r="AC974" s="18">
        <v>0</v>
      </c>
      <c r="AD974" s="18">
        <v>0</v>
      </c>
      <c r="AE974" s="18">
        <v>0</v>
      </c>
      <c r="AF974" s="18">
        <v>0</v>
      </c>
      <c r="AN974" s="3">
        <f t="shared" si="9"/>
        <v>2</v>
      </c>
      <c r="AO974" s="3">
        <v>5</v>
      </c>
      <c r="AP974" s="3">
        <v>2</v>
      </c>
      <c r="AR974" s="2" t="s">
        <v>1860</v>
      </c>
    </row>
    <row r="975" spans="1:44" ht="12.75" customHeight="1">
      <c r="A975" s="4">
        <f>DATE(94,4,23)</f>
        <v>34447</v>
      </c>
      <c r="C975" s="2" t="s">
        <v>192</v>
      </c>
      <c r="E975" s="18">
        <v>8</v>
      </c>
      <c r="F975" s="18">
        <v>0</v>
      </c>
      <c r="G975" s="18">
        <v>0</v>
      </c>
      <c r="H975" s="18">
        <v>0</v>
      </c>
      <c r="I975" s="18">
        <v>2</v>
      </c>
      <c r="J975" s="18">
        <v>1</v>
      </c>
      <c r="K975" s="18" t="s">
        <v>162</v>
      </c>
      <c r="T975" s="3">
        <f t="shared" si="8"/>
        <v>11</v>
      </c>
      <c r="U975" s="3">
        <v>12</v>
      </c>
      <c r="V975" s="3">
        <v>6</v>
      </c>
      <c r="X975" s="2" t="s">
        <v>1840</v>
      </c>
      <c r="Y975" s="18">
        <v>2</v>
      </c>
      <c r="Z975" s="18">
        <v>3</v>
      </c>
      <c r="AA975" s="18">
        <v>1</v>
      </c>
      <c r="AB975" s="18">
        <v>0</v>
      </c>
      <c r="AC975" s="18">
        <v>0</v>
      </c>
      <c r="AD975" s="18">
        <v>0</v>
      </c>
      <c r="AE975" s="18">
        <v>0</v>
      </c>
      <c r="AN975" s="3">
        <f t="shared" si="9"/>
        <v>6</v>
      </c>
      <c r="AO975" s="3">
        <v>2</v>
      </c>
      <c r="AP975" s="3">
        <v>3</v>
      </c>
      <c r="AR975" s="2" t="s">
        <v>1861</v>
      </c>
    </row>
    <row r="976" spans="1:44" ht="12.75" customHeight="1">
      <c r="A976" s="4">
        <f>DATE(94,4,26)</f>
        <v>34450</v>
      </c>
      <c r="B976" s="2" t="s">
        <v>152</v>
      </c>
      <c r="C976" s="2" t="s">
        <v>305</v>
      </c>
      <c r="E976" s="18">
        <v>3</v>
      </c>
      <c r="F976" s="18">
        <v>0</v>
      </c>
      <c r="G976" s="18">
        <v>1</v>
      </c>
      <c r="H976" s="18">
        <v>0</v>
      </c>
      <c r="I976" s="18">
        <v>6</v>
      </c>
      <c r="J976" s="18">
        <v>0</v>
      </c>
      <c r="K976" s="18">
        <v>0</v>
      </c>
      <c r="T976" s="3">
        <f t="shared" si="8"/>
        <v>10</v>
      </c>
      <c r="U976" s="3">
        <v>12</v>
      </c>
      <c r="V976" s="3">
        <v>5</v>
      </c>
      <c r="X976" s="2" t="s">
        <v>1862</v>
      </c>
      <c r="Y976" s="18">
        <v>2</v>
      </c>
      <c r="Z976" s="18">
        <v>0</v>
      </c>
      <c r="AA976" s="18">
        <v>4</v>
      </c>
      <c r="AB976" s="18">
        <v>5</v>
      </c>
      <c r="AC976" s="18">
        <v>0</v>
      </c>
      <c r="AD976" s="18">
        <v>0</v>
      </c>
      <c r="AE976" s="18" t="s">
        <v>162</v>
      </c>
      <c r="AN976" s="3">
        <f t="shared" si="9"/>
        <v>11</v>
      </c>
      <c r="AO976" s="3">
        <v>8</v>
      </c>
      <c r="AP976" s="3">
        <v>2</v>
      </c>
      <c r="AR976" s="2" t="s">
        <v>1863</v>
      </c>
    </row>
    <row r="977" spans="1:44" ht="12.75" customHeight="1">
      <c r="A977" s="4">
        <f>DATE(94,4,27)</f>
        <v>34451</v>
      </c>
      <c r="B977" s="2" t="s">
        <v>152</v>
      </c>
      <c r="C977" s="2" t="s">
        <v>174</v>
      </c>
      <c r="E977" s="18">
        <v>4</v>
      </c>
      <c r="F977" s="18">
        <v>4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2</v>
      </c>
      <c r="T977" s="3">
        <f t="shared" si="8"/>
        <v>10</v>
      </c>
      <c r="U977" s="3">
        <v>16</v>
      </c>
      <c r="V977" s="3">
        <v>0</v>
      </c>
      <c r="X977" s="2" t="s">
        <v>1864</v>
      </c>
      <c r="Y977" s="18">
        <v>0</v>
      </c>
      <c r="Z977" s="18">
        <v>2</v>
      </c>
      <c r="AA977" s="18">
        <v>1</v>
      </c>
      <c r="AB977" s="18">
        <v>0</v>
      </c>
      <c r="AC977" s="18">
        <v>2</v>
      </c>
      <c r="AD977" s="18">
        <v>2</v>
      </c>
      <c r="AE977" s="18">
        <v>1</v>
      </c>
      <c r="AF977" s="18">
        <v>0</v>
      </c>
      <c r="AN977" s="3">
        <f t="shared" si="9"/>
        <v>8</v>
      </c>
      <c r="AO977" s="3">
        <v>11</v>
      </c>
      <c r="AP977" s="3">
        <v>5</v>
      </c>
      <c r="AR977" s="2" t="s">
        <v>1865</v>
      </c>
    </row>
    <row r="978" spans="1:44" ht="12.75" customHeight="1">
      <c r="A978" s="4">
        <f>DATE(94,5,2)</f>
        <v>34456</v>
      </c>
      <c r="C978" s="2" t="s">
        <v>236</v>
      </c>
      <c r="E978" s="18">
        <v>0</v>
      </c>
      <c r="F978" s="18">
        <v>0</v>
      </c>
      <c r="G978" s="18">
        <v>2</v>
      </c>
      <c r="H978" s="18">
        <v>1</v>
      </c>
      <c r="I978" s="18">
        <v>3</v>
      </c>
      <c r="T978" s="3">
        <f t="shared" si="8"/>
        <v>6</v>
      </c>
      <c r="U978" s="3">
        <v>5</v>
      </c>
      <c r="V978" s="3">
        <v>2</v>
      </c>
      <c r="X978" s="2" t="s">
        <v>1866</v>
      </c>
      <c r="Y978" s="18">
        <v>3</v>
      </c>
      <c r="Z978" s="18">
        <v>0</v>
      </c>
      <c r="AA978" s="18">
        <v>0</v>
      </c>
      <c r="AB978" s="18">
        <v>7</v>
      </c>
      <c r="AC978" s="18">
        <v>8</v>
      </c>
      <c r="AN978" s="3">
        <f t="shared" si="9"/>
        <v>18</v>
      </c>
      <c r="AO978" s="3">
        <v>12</v>
      </c>
      <c r="AP978" s="3">
        <v>3</v>
      </c>
      <c r="AR978" s="2" t="s">
        <v>1867</v>
      </c>
    </row>
    <row r="979" spans="1:44" ht="12.75" customHeight="1">
      <c r="A979" s="4">
        <f>DATE(94,5,3)</f>
        <v>34457</v>
      </c>
      <c r="C979" s="2" t="s">
        <v>175</v>
      </c>
      <c r="E979" s="18">
        <v>0</v>
      </c>
      <c r="F979" s="18">
        <v>2</v>
      </c>
      <c r="G979" s="18">
        <v>1</v>
      </c>
      <c r="H979" s="18">
        <v>0</v>
      </c>
      <c r="I979" s="18">
        <v>0</v>
      </c>
      <c r="J979" s="18">
        <v>2</v>
      </c>
      <c r="K979" s="18" t="s">
        <v>162</v>
      </c>
      <c r="T979" s="3">
        <f t="shared" si="8"/>
        <v>5</v>
      </c>
      <c r="U979" s="3">
        <v>9</v>
      </c>
      <c r="V979" s="3">
        <v>1</v>
      </c>
      <c r="X979" s="2" t="s">
        <v>1853</v>
      </c>
      <c r="Y979" s="18">
        <v>0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  <c r="AE979" s="18">
        <v>1</v>
      </c>
      <c r="AN979" s="3">
        <f t="shared" si="9"/>
        <v>1</v>
      </c>
      <c r="AO979" s="3">
        <v>5</v>
      </c>
      <c r="AP979" s="3">
        <v>5</v>
      </c>
      <c r="AR979" s="2" t="s">
        <v>1868</v>
      </c>
    </row>
    <row r="980" spans="1:44" ht="12.75" customHeight="1">
      <c r="A980" s="4">
        <f>DATE(94,5,5)</f>
        <v>34459</v>
      </c>
      <c r="B980" s="2" t="s">
        <v>152</v>
      </c>
      <c r="C980" s="2" t="s">
        <v>191</v>
      </c>
      <c r="E980" s="18">
        <v>0</v>
      </c>
      <c r="F980" s="18">
        <v>0</v>
      </c>
      <c r="G980" s="18">
        <v>2</v>
      </c>
      <c r="H980" s="18">
        <v>1</v>
      </c>
      <c r="I980" s="18">
        <v>1</v>
      </c>
      <c r="J980" s="18">
        <v>0</v>
      </c>
      <c r="K980" s="18">
        <v>6</v>
      </c>
      <c r="T980" s="3">
        <f t="shared" si="8"/>
        <v>10</v>
      </c>
      <c r="U980" s="3">
        <v>11</v>
      </c>
      <c r="V980" s="3">
        <v>4</v>
      </c>
      <c r="X980" s="2" t="s">
        <v>1801</v>
      </c>
      <c r="Y980" s="18">
        <v>1</v>
      </c>
      <c r="Z980" s="18">
        <v>0</v>
      </c>
      <c r="AA980" s="18">
        <v>1</v>
      </c>
      <c r="AB980" s="18">
        <v>0</v>
      </c>
      <c r="AC980" s="18">
        <v>0</v>
      </c>
      <c r="AD980" s="18">
        <v>0</v>
      </c>
      <c r="AE980" s="18">
        <v>4</v>
      </c>
      <c r="AN980" s="3">
        <f t="shared" si="9"/>
        <v>6</v>
      </c>
      <c r="AO980" s="3">
        <v>6</v>
      </c>
      <c r="AP980" s="3">
        <v>5</v>
      </c>
      <c r="AR980" s="2" t="s">
        <v>1869</v>
      </c>
    </row>
    <row r="981" spans="1:44" ht="12.75" customHeight="1">
      <c r="A981" s="4">
        <f>DATE(94,5,10)</f>
        <v>34464</v>
      </c>
      <c r="B981" s="2" t="s">
        <v>152</v>
      </c>
      <c r="C981" s="2" t="s">
        <v>379</v>
      </c>
      <c r="E981" s="18">
        <v>1</v>
      </c>
      <c r="F981" s="18">
        <v>0</v>
      </c>
      <c r="G981" s="18">
        <v>0</v>
      </c>
      <c r="H981" s="18">
        <v>1</v>
      </c>
      <c r="I981" s="18">
        <v>1</v>
      </c>
      <c r="J981" s="18">
        <v>4</v>
      </c>
      <c r="K981" s="18">
        <v>0</v>
      </c>
      <c r="L981" s="18">
        <v>1</v>
      </c>
      <c r="M981" s="18">
        <v>3</v>
      </c>
      <c r="T981" s="3">
        <f t="shared" si="8"/>
        <v>11</v>
      </c>
      <c r="U981" s="3">
        <v>15</v>
      </c>
      <c r="V981" s="3">
        <v>0</v>
      </c>
      <c r="X981" s="2" t="s">
        <v>1806</v>
      </c>
      <c r="Y981" s="18">
        <v>2</v>
      </c>
      <c r="Z981" s="18">
        <v>1</v>
      </c>
      <c r="AA981" s="18">
        <v>0</v>
      </c>
      <c r="AB981" s="18">
        <v>4</v>
      </c>
      <c r="AC981" s="18">
        <v>0</v>
      </c>
      <c r="AD981" s="18">
        <v>0</v>
      </c>
      <c r="AE981" s="18">
        <v>0</v>
      </c>
      <c r="AF981" s="18">
        <v>1</v>
      </c>
      <c r="AG981" s="18">
        <v>0</v>
      </c>
      <c r="AN981" s="3">
        <f t="shared" si="9"/>
        <v>8</v>
      </c>
      <c r="AO981" s="3">
        <v>6</v>
      </c>
      <c r="AP981" s="3">
        <v>5</v>
      </c>
      <c r="AR981" s="2" t="s">
        <v>1870</v>
      </c>
    </row>
    <row r="982" spans="1:44" ht="12.75" customHeight="1">
      <c r="A982" s="4">
        <f>DATE(94,5,12)</f>
        <v>34466</v>
      </c>
      <c r="B982" s="2" t="s">
        <v>152</v>
      </c>
      <c r="C982" s="2" t="s">
        <v>137</v>
      </c>
      <c r="E982" s="18">
        <v>1</v>
      </c>
      <c r="F982" s="18">
        <v>1</v>
      </c>
      <c r="G982" s="18">
        <v>2</v>
      </c>
      <c r="H982" s="18">
        <v>0</v>
      </c>
      <c r="I982" s="18">
        <v>2</v>
      </c>
      <c r="J982" s="18">
        <v>0</v>
      </c>
      <c r="K982" s="18">
        <v>2</v>
      </c>
      <c r="L982" s="18">
        <v>4</v>
      </c>
      <c r="T982" s="3">
        <f t="shared" si="8"/>
        <v>12</v>
      </c>
      <c r="U982" s="3">
        <v>9</v>
      </c>
      <c r="V982" s="3">
        <v>1</v>
      </c>
      <c r="X982" s="2" t="s">
        <v>1792</v>
      </c>
      <c r="Y982" s="18">
        <v>0</v>
      </c>
      <c r="Z982" s="18">
        <v>0</v>
      </c>
      <c r="AA982" s="18">
        <v>3</v>
      </c>
      <c r="AB982" s="18">
        <v>0</v>
      </c>
      <c r="AC982" s="18">
        <v>0</v>
      </c>
      <c r="AD982" s="18">
        <v>4</v>
      </c>
      <c r="AE982" s="18">
        <v>1</v>
      </c>
      <c r="AF982" s="18">
        <v>2</v>
      </c>
      <c r="AN982" s="3">
        <f t="shared" si="9"/>
        <v>10</v>
      </c>
      <c r="AO982" s="3">
        <v>6</v>
      </c>
      <c r="AP982" s="3">
        <v>4</v>
      </c>
      <c r="AR982" s="2" t="s">
        <v>1871</v>
      </c>
    </row>
    <row r="983" spans="1:44" ht="12.75" customHeight="1">
      <c r="A983" s="4">
        <f>DATE(94,5,16)</f>
        <v>34470</v>
      </c>
      <c r="C983" s="2" t="s">
        <v>183</v>
      </c>
      <c r="E983" s="18">
        <v>1</v>
      </c>
      <c r="F983" s="18">
        <v>1</v>
      </c>
      <c r="G983" s="18">
        <v>0</v>
      </c>
      <c r="H983" s="18">
        <v>0</v>
      </c>
      <c r="I983" s="18">
        <v>1</v>
      </c>
      <c r="J983" s="18">
        <v>1</v>
      </c>
      <c r="K983" s="18">
        <v>0</v>
      </c>
      <c r="L983" s="18">
        <v>1</v>
      </c>
      <c r="T983" s="3">
        <f t="shared" si="8"/>
        <v>5</v>
      </c>
      <c r="U983" s="3">
        <v>6</v>
      </c>
      <c r="V983" s="3">
        <v>2</v>
      </c>
      <c r="X983" s="2" t="s">
        <v>1872</v>
      </c>
      <c r="Y983" s="18">
        <v>0</v>
      </c>
      <c r="Z983" s="18">
        <v>0</v>
      </c>
      <c r="AA983" s="18">
        <v>1</v>
      </c>
      <c r="AB983" s="18">
        <v>0</v>
      </c>
      <c r="AC983" s="18">
        <v>0</v>
      </c>
      <c r="AD983" s="18">
        <v>0</v>
      </c>
      <c r="AE983" s="18">
        <v>3</v>
      </c>
      <c r="AF983" s="18">
        <v>0</v>
      </c>
      <c r="AN983" s="3">
        <f t="shared" si="9"/>
        <v>4</v>
      </c>
      <c r="AO983" s="3">
        <v>6</v>
      </c>
      <c r="AP983" s="3">
        <v>0</v>
      </c>
      <c r="AR983" s="2" t="s">
        <v>1873</v>
      </c>
    </row>
    <row r="984" spans="1:44" ht="12.75" customHeight="1">
      <c r="A984" s="4">
        <f>DATE(94,5,17)</f>
        <v>34471</v>
      </c>
      <c r="C984" s="2" t="s">
        <v>374</v>
      </c>
      <c r="E984" s="18">
        <v>3</v>
      </c>
      <c r="F984" s="18">
        <v>1</v>
      </c>
      <c r="G984" s="18">
        <v>0</v>
      </c>
      <c r="H984" s="18">
        <v>0</v>
      </c>
      <c r="I984" s="18">
        <v>5</v>
      </c>
      <c r="J984" s="18">
        <v>1</v>
      </c>
      <c r="K984" s="18" t="s">
        <v>162</v>
      </c>
      <c r="T984" s="3">
        <f t="shared" si="8"/>
        <v>10</v>
      </c>
      <c r="U984" s="3">
        <v>10</v>
      </c>
      <c r="V984" s="3">
        <v>2</v>
      </c>
      <c r="X984" s="2" t="s">
        <v>1853</v>
      </c>
      <c r="Y984" s="18">
        <v>1</v>
      </c>
      <c r="Z984" s="18">
        <v>0</v>
      </c>
      <c r="AA984" s="18">
        <v>5</v>
      </c>
      <c r="AB984" s="18">
        <v>0</v>
      </c>
      <c r="AC984" s="18">
        <v>0</v>
      </c>
      <c r="AD984" s="18">
        <v>0</v>
      </c>
      <c r="AE984" s="18">
        <v>0</v>
      </c>
      <c r="AN984" s="3">
        <f t="shared" si="9"/>
        <v>6</v>
      </c>
      <c r="AO984" s="3">
        <v>5</v>
      </c>
      <c r="AP984" s="3">
        <v>1</v>
      </c>
      <c r="AR984" s="2" t="s">
        <v>1874</v>
      </c>
    </row>
    <row r="985" spans="1:44" ht="12.75" customHeight="1">
      <c r="A985" s="4">
        <f>DATE(94,5,19)</f>
        <v>34473</v>
      </c>
      <c r="C985" s="2" t="s">
        <v>138</v>
      </c>
      <c r="E985" s="18">
        <v>2</v>
      </c>
      <c r="F985" s="18">
        <v>0</v>
      </c>
      <c r="G985" s="18">
        <v>0</v>
      </c>
      <c r="H985" s="18">
        <v>0</v>
      </c>
      <c r="I985" s="18">
        <v>1</v>
      </c>
      <c r="J985" s="18">
        <v>0</v>
      </c>
      <c r="K985" s="18">
        <v>0</v>
      </c>
      <c r="L985" s="18">
        <v>1</v>
      </c>
      <c r="T985" s="3">
        <f t="shared" si="8"/>
        <v>4</v>
      </c>
      <c r="U985" s="3">
        <v>11</v>
      </c>
      <c r="V985" s="3">
        <v>2</v>
      </c>
      <c r="X985" s="2" t="s">
        <v>1875</v>
      </c>
      <c r="Y985" s="18">
        <v>0</v>
      </c>
      <c r="Z985" s="18">
        <v>0</v>
      </c>
      <c r="AA985" s="18">
        <v>0</v>
      </c>
      <c r="AB985" s="18">
        <v>3</v>
      </c>
      <c r="AC985" s="18">
        <v>0</v>
      </c>
      <c r="AD985" s="18">
        <v>0</v>
      </c>
      <c r="AE985" s="18">
        <v>0</v>
      </c>
      <c r="AF985" s="18">
        <v>0</v>
      </c>
      <c r="AN985" s="3">
        <f t="shared" si="9"/>
        <v>3</v>
      </c>
      <c r="AO985" s="3">
        <v>8</v>
      </c>
      <c r="AP985" s="3">
        <v>2</v>
      </c>
      <c r="AR985" s="2" t="s">
        <v>1876</v>
      </c>
    </row>
    <row r="986" spans="1:44" ht="12.75" customHeight="1">
      <c r="A986" s="4">
        <f>DATE(94,5,27)</f>
        <v>34481</v>
      </c>
      <c r="B986" s="2" t="s">
        <v>239</v>
      </c>
      <c r="C986" s="2" t="s">
        <v>367</v>
      </c>
      <c r="D986" s="2" t="s">
        <v>258</v>
      </c>
      <c r="E986" s="18">
        <v>0</v>
      </c>
      <c r="F986" s="18">
        <v>1</v>
      </c>
      <c r="G986" s="18">
        <v>6</v>
      </c>
      <c r="H986" s="18">
        <v>4</v>
      </c>
      <c r="I986" s="18" t="s">
        <v>162</v>
      </c>
      <c r="T986" s="3">
        <f t="shared" si="8"/>
        <v>11</v>
      </c>
      <c r="U986" s="3">
        <v>6</v>
      </c>
      <c r="V986" s="3">
        <v>0</v>
      </c>
      <c r="X986" s="2" t="s">
        <v>1877</v>
      </c>
      <c r="Y986" s="18">
        <v>0</v>
      </c>
      <c r="Z986" s="18">
        <v>0</v>
      </c>
      <c r="AA986" s="18">
        <v>0</v>
      </c>
      <c r="AB986" s="18">
        <v>0</v>
      </c>
      <c r="AC986" s="18">
        <v>0</v>
      </c>
      <c r="AN986" s="3">
        <f t="shared" si="9"/>
        <v>0</v>
      </c>
      <c r="AO986" s="3">
        <v>1</v>
      </c>
      <c r="AP986" s="3">
        <v>3</v>
      </c>
      <c r="AR986" s="2" t="s">
        <v>1878</v>
      </c>
    </row>
    <row r="987" spans="1:44" ht="12.75" customHeight="1">
      <c r="A987" s="4">
        <f>DATE(94,6,1)</f>
        <v>34486</v>
      </c>
      <c r="B987" s="2" t="s">
        <v>239</v>
      </c>
      <c r="C987" s="2" t="s">
        <v>191</v>
      </c>
      <c r="D987" s="2" t="s">
        <v>258</v>
      </c>
      <c r="E987" s="18">
        <v>2</v>
      </c>
      <c r="F987" s="18">
        <v>1</v>
      </c>
      <c r="G987" s="18">
        <v>2</v>
      </c>
      <c r="H987" s="18">
        <v>0</v>
      </c>
      <c r="I987" s="18">
        <v>0</v>
      </c>
      <c r="J987" s="18">
        <v>0</v>
      </c>
      <c r="K987" s="18">
        <v>1</v>
      </c>
      <c r="T987" s="3">
        <f t="shared" si="8"/>
        <v>6</v>
      </c>
      <c r="U987" s="3">
        <v>9</v>
      </c>
      <c r="V987" s="3">
        <v>4</v>
      </c>
      <c r="X987" s="2" t="s">
        <v>1877</v>
      </c>
      <c r="Y987" s="18">
        <v>0</v>
      </c>
      <c r="Z987" s="18">
        <v>0</v>
      </c>
      <c r="AA987" s="18">
        <v>0</v>
      </c>
      <c r="AB987" s="18">
        <v>4</v>
      </c>
      <c r="AC987" s="18">
        <v>3</v>
      </c>
      <c r="AD987" s="18">
        <v>4</v>
      </c>
      <c r="AE987" s="18" t="s">
        <v>162</v>
      </c>
      <c r="AN987" s="3">
        <f t="shared" si="9"/>
        <v>11</v>
      </c>
      <c r="AO987" s="3">
        <v>11</v>
      </c>
      <c r="AP987" s="3">
        <v>1</v>
      </c>
      <c r="AR987" s="2" t="s">
        <v>1879</v>
      </c>
    </row>
    <row r="988" ht="12.75" customHeight="1"/>
    <row r="989" spans="1:45" ht="12.75" customHeight="1">
      <c r="A989" s="4">
        <f>DATE(95,3,30)</f>
        <v>34788</v>
      </c>
      <c r="C989" s="2" t="s">
        <v>191</v>
      </c>
      <c r="E989" s="18">
        <v>0</v>
      </c>
      <c r="F989" s="18">
        <v>0</v>
      </c>
      <c r="G989" s="18">
        <v>0</v>
      </c>
      <c r="H989" s="18">
        <v>2</v>
      </c>
      <c r="I989" s="18">
        <v>3</v>
      </c>
      <c r="J989" s="18">
        <v>0</v>
      </c>
      <c r="K989" s="18" t="s">
        <v>162</v>
      </c>
      <c r="T989" s="3">
        <f aca="true" t="shared" si="10" ref="T989:T1096">SUM(E989:S989)</f>
        <v>5</v>
      </c>
      <c r="U989" s="3">
        <v>8</v>
      </c>
      <c r="V989" s="3">
        <v>3</v>
      </c>
      <c r="X989" s="2" t="s">
        <v>1824</v>
      </c>
      <c r="Y989" s="18">
        <v>0</v>
      </c>
      <c r="Z989" s="18">
        <v>0</v>
      </c>
      <c r="AA989" s="18">
        <v>0</v>
      </c>
      <c r="AB989" s="18">
        <v>1</v>
      </c>
      <c r="AC989" s="18">
        <v>0</v>
      </c>
      <c r="AD989" s="18">
        <v>1</v>
      </c>
      <c r="AE989" s="18">
        <v>0</v>
      </c>
      <c r="AN989" s="3">
        <f>SUM(Y989:AM989)</f>
        <v>2</v>
      </c>
      <c r="AO989" s="3">
        <v>5</v>
      </c>
      <c r="AP989" s="3">
        <v>1</v>
      </c>
      <c r="AR989" s="2" t="s">
        <v>1880</v>
      </c>
      <c r="AS989" s="2" t="s">
        <v>1848</v>
      </c>
    </row>
    <row r="990" spans="1:46" ht="12.75" customHeight="1">
      <c r="A990" s="4">
        <f>DATE(95,4,7)</f>
        <v>34796</v>
      </c>
      <c r="B990" s="2" t="s">
        <v>152</v>
      </c>
      <c r="C990" s="2" t="s">
        <v>305</v>
      </c>
      <c r="E990" s="18">
        <v>0</v>
      </c>
      <c r="F990" s="18">
        <v>2</v>
      </c>
      <c r="G990" s="18">
        <v>1</v>
      </c>
      <c r="H990" s="18">
        <v>0</v>
      </c>
      <c r="I990" s="18">
        <v>0</v>
      </c>
      <c r="J990" s="18">
        <v>1</v>
      </c>
      <c r="K990" s="18">
        <v>0</v>
      </c>
      <c r="L990" s="18">
        <v>0</v>
      </c>
      <c r="T990" s="3">
        <f t="shared" si="10"/>
        <v>4</v>
      </c>
      <c r="U990" s="3">
        <v>5</v>
      </c>
      <c r="V990" s="3">
        <v>5</v>
      </c>
      <c r="X990" s="2" t="s">
        <v>1840</v>
      </c>
      <c r="Y990" s="18">
        <v>1</v>
      </c>
      <c r="Z990" s="18">
        <v>0</v>
      </c>
      <c r="AA990" s="18">
        <v>0</v>
      </c>
      <c r="AB990" s="18">
        <v>0</v>
      </c>
      <c r="AC990" s="18">
        <v>2</v>
      </c>
      <c r="AD990" s="18">
        <v>1</v>
      </c>
      <c r="AE990" s="18">
        <v>0</v>
      </c>
      <c r="AF990" s="18">
        <v>1</v>
      </c>
      <c r="AN990" s="3">
        <f>SUM(Y990:AM990)</f>
        <v>5</v>
      </c>
      <c r="AO990" s="3">
        <v>5</v>
      </c>
      <c r="AP990" s="3">
        <v>1</v>
      </c>
      <c r="AR990" s="2" t="s">
        <v>1881</v>
      </c>
      <c r="AS990" s="2" t="s">
        <v>244</v>
      </c>
      <c r="AT990" s="2">
        <v>10</v>
      </c>
    </row>
    <row r="991" spans="1:44" ht="12.75" customHeight="1">
      <c r="A991" s="4">
        <f>DATE(95,4,7)</f>
        <v>34796</v>
      </c>
      <c r="C991" s="2" t="s">
        <v>175</v>
      </c>
      <c r="E991" s="18">
        <v>0</v>
      </c>
      <c r="F991" s="18">
        <v>2</v>
      </c>
      <c r="G991" s="18">
        <v>0</v>
      </c>
      <c r="H991" s="18">
        <v>0</v>
      </c>
      <c r="I991" s="18">
        <v>0</v>
      </c>
      <c r="J991" s="18">
        <v>0</v>
      </c>
      <c r="K991" s="18" t="s">
        <v>162</v>
      </c>
      <c r="T991" s="3">
        <f t="shared" si="10"/>
        <v>2</v>
      </c>
      <c r="U991" s="3">
        <v>4</v>
      </c>
      <c r="V991" s="3">
        <v>1</v>
      </c>
      <c r="X991" s="2" t="s">
        <v>1824</v>
      </c>
      <c r="Y991" s="18">
        <v>0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N991" s="3">
        <f>SUM(Y991:AM991)</f>
        <v>0</v>
      </c>
      <c r="AO991" s="3">
        <v>2</v>
      </c>
      <c r="AP991" s="3">
        <v>2</v>
      </c>
      <c r="AR991" s="2" t="s">
        <v>1882</v>
      </c>
    </row>
    <row r="992" spans="1:44" ht="12.75" customHeight="1">
      <c r="A992" s="4">
        <f>DATE(95,4,11)</f>
        <v>34800</v>
      </c>
      <c r="B992" s="2" t="s">
        <v>152</v>
      </c>
      <c r="C992" s="2" t="s">
        <v>374</v>
      </c>
      <c r="E992" s="18">
        <v>0</v>
      </c>
      <c r="F992" s="18">
        <v>0</v>
      </c>
      <c r="G992" s="18">
        <v>0</v>
      </c>
      <c r="H992" s="18">
        <v>1</v>
      </c>
      <c r="I992" s="18">
        <v>2</v>
      </c>
      <c r="J992" s="18">
        <v>1</v>
      </c>
      <c r="K992" s="18">
        <v>0</v>
      </c>
      <c r="T992" s="3">
        <f t="shared" si="10"/>
        <v>4</v>
      </c>
      <c r="U992" s="3">
        <v>5</v>
      </c>
      <c r="V992" s="3">
        <v>1</v>
      </c>
      <c r="X992" s="2" t="s">
        <v>1856</v>
      </c>
      <c r="Y992" s="18">
        <v>0</v>
      </c>
      <c r="Z992" s="18">
        <v>0</v>
      </c>
      <c r="AA992" s="18">
        <v>0</v>
      </c>
      <c r="AB992" s="18">
        <v>0</v>
      </c>
      <c r="AC992" s="18">
        <v>1</v>
      </c>
      <c r="AD992" s="18">
        <v>2</v>
      </c>
      <c r="AE992" s="18">
        <v>0</v>
      </c>
      <c r="AN992" s="3">
        <v>3</v>
      </c>
      <c r="AO992" s="3">
        <v>6</v>
      </c>
      <c r="AP992" s="3">
        <v>2</v>
      </c>
      <c r="AR992" s="2" t="s">
        <v>1883</v>
      </c>
    </row>
    <row r="993" spans="1:44" ht="12.75" customHeight="1">
      <c r="A993" s="4">
        <f>DATE(95,4,13)</f>
        <v>34802</v>
      </c>
      <c r="C993" s="2" t="s">
        <v>392</v>
      </c>
      <c r="E993" s="18">
        <v>2</v>
      </c>
      <c r="F993" s="18">
        <v>0</v>
      </c>
      <c r="G993" s="18">
        <v>0</v>
      </c>
      <c r="H993" s="18">
        <v>1</v>
      </c>
      <c r="I993" s="18">
        <v>0</v>
      </c>
      <c r="J993" s="18">
        <v>0</v>
      </c>
      <c r="K993" s="18">
        <v>0</v>
      </c>
      <c r="L993" s="18">
        <v>0</v>
      </c>
      <c r="T993" s="3">
        <f t="shared" si="10"/>
        <v>3</v>
      </c>
      <c r="U993" s="3">
        <v>4</v>
      </c>
      <c r="V993" s="3">
        <v>2</v>
      </c>
      <c r="X993" s="2" t="s">
        <v>1884</v>
      </c>
      <c r="Y993" s="18">
        <v>0</v>
      </c>
      <c r="Z993" s="18">
        <v>0</v>
      </c>
      <c r="AA993" s="18">
        <v>0</v>
      </c>
      <c r="AB993" s="18">
        <v>0</v>
      </c>
      <c r="AC993" s="18">
        <v>2</v>
      </c>
      <c r="AD993" s="18">
        <v>0</v>
      </c>
      <c r="AE993" s="18">
        <v>1</v>
      </c>
      <c r="AF993" s="18">
        <v>1</v>
      </c>
      <c r="AN993" s="3">
        <f aca="true" t="shared" si="11" ref="AN993:AN1096">SUM(Y993:AM993)</f>
        <v>4</v>
      </c>
      <c r="AO993" s="3">
        <v>6</v>
      </c>
      <c r="AP993" s="3">
        <v>0</v>
      </c>
      <c r="AR993" s="2" t="s">
        <v>1885</v>
      </c>
    </row>
    <row r="994" spans="1:44" ht="12.75" customHeight="1">
      <c r="A994" s="4">
        <f>DATE(95,4,18)</f>
        <v>34807</v>
      </c>
      <c r="C994" s="2" t="s">
        <v>174</v>
      </c>
      <c r="E994" s="18">
        <v>0</v>
      </c>
      <c r="F994" s="18">
        <v>2</v>
      </c>
      <c r="G994" s="18">
        <v>3</v>
      </c>
      <c r="H994" s="18">
        <v>0</v>
      </c>
      <c r="I994" s="18">
        <v>0</v>
      </c>
      <c r="J994" s="18">
        <v>1</v>
      </c>
      <c r="K994" s="18" t="s">
        <v>162</v>
      </c>
      <c r="T994" s="3">
        <f t="shared" si="10"/>
        <v>6</v>
      </c>
      <c r="U994" s="3">
        <v>6</v>
      </c>
      <c r="V994" s="3">
        <v>0</v>
      </c>
      <c r="X994" s="2" t="s">
        <v>1824</v>
      </c>
      <c r="Y994" s="18">
        <v>0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N994" s="3">
        <f t="shared" si="11"/>
        <v>0</v>
      </c>
      <c r="AO994" s="3">
        <v>2</v>
      </c>
      <c r="AP994" s="3">
        <v>2</v>
      </c>
      <c r="AR994" s="2" t="s">
        <v>1886</v>
      </c>
    </row>
    <row r="995" spans="1:44" ht="12.75" customHeight="1">
      <c r="A995" s="4">
        <f>DATE(95,4,20)</f>
        <v>34809</v>
      </c>
      <c r="B995" s="2" t="s">
        <v>152</v>
      </c>
      <c r="C995" s="2" t="s">
        <v>236</v>
      </c>
      <c r="E995" s="18">
        <v>0</v>
      </c>
      <c r="F995" s="18">
        <v>1</v>
      </c>
      <c r="G995" s="18">
        <v>0</v>
      </c>
      <c r="H995" s="18">
        <v>0</v>
      </c>
      <c r="I995" s="18">
        <v>1</v>
      </c>
      <c r="J995" s="18">
        <v>0</v>
      </c>
      <c r="K995" s="18">
        <v>0</v>
      </c>
      <c r="L995" s="18">
        <v>0</v>
      </c>
      <c r="T995" s="3">
        <f t="shared" si="10"/>
        <v>2</v>
      </c>
      <c r="U995" s="3">
        <v>6</v>
      </c>
      <c r="V995" s="3">
        <v>1</v>
      </c>
      <c r="X995" s="2" t="s">
        <v>1887</v>
      </c>
      <c r="Y995" s="18">
        <v>0</v>
      </c>
      <c r="Z995" s="18">
        <v>0</v>
      </c>
      <c r="AA995" s="18">
        <v>0</v>
      </c>
      <c r="AB995" s="18">
        <v>1</v>
      </c>
      <c r="AC995" s="18">
        <v>0</v>
      </c>
      <c r="AD995" s="18">
        <v>0</v>
      </c>
      <c r="AE995" s="18">
        <v>1</v>
      </c>
      <c r="AF995" s="18">
        <v>1</v>
      </c>
      <c r="AN995" s="3">
        <f t="shared" si="11"/>
        <v>3</v>
      </c>
      <c r="AO995" s="3">
        <v>13</v>
      </c>
      <c r="AP995" s="3">
        <v>0</v>
      </c>
      <c r="AR995" s="2" t="s">
        <v>1888</v>
      </c>
    </row>
    <row r="996" spans="1:44" ht="12.75" customHeight="1">
      <c r="A996" s="4">
        <f>DATE(95,4,22)</f>
        <v>34811</v>
      </c>
      <c r="B996" s="2" t="s">
        <v>152</v>
      </c>
      <c r="C996" s="2" t="s">
        <v>192</v>
      </c>
      <c r="E996" s="18">
        <v>0</v>
      </c>
      <c r="F996" s="18">
        <v>0</v>
      </c>
      <c r="G996" s="18">
        <v>0</v>
      </c>
      <c r="H996" s="18">
        <v>1</v>
      </c>
      <c r="I996" s="18">
        <v>2</v>
      </c>
      <c r="J996" s="18">
        <v>2</v>
      </c>
      <c r="K996" s="18">
        <v>0</v>
      </c>
      <c r="L996" s="18">
        <v>0</v>
      </c>
      <c r="M996" s="18">
        <v>0</v>
      </c>
      <c r="T996" s="3">
        <f t="shared" si="10"/>
        <v>5</v>
      </c>
      <c r="U996" s="3">
        <v>5</v>
      </c>
      <c r="V996" s="3">
        <v>2</v>
      </c>
      <c r="X996" s="2" t="s">
        <v>1889</v>
      </c>
      <c r="Y996" s="18">
        <v>4</v>
      </c>
      <c r="Z996" s="18">
        <v>0</v>
      </c>
      <c r="AA996" s="18">
        <v>0</v>
      </c>
      <c r="AB996" s="18">
        <v>0</v>
      </c>
      <c r="AC996" s="18">
        <v>0</v>
      </c>
      <c r="AD996" s="18">
        <v>1</v>
      </c>
      <c r="AE996" s="18">
        <v>0</v>
      </c>
      <c r="AF996" s="18">
        <v>0</v>
      </c>
      <c r="AG996" s="18">
        <v>1</v>
      </c>
      <c r="AN996" s="3">
        <f t="shared" si="11"/>
        <v>6</v>
      </c>
      <c r="AO996" s="3">
        <v>7</v>
      </c>
      <c r="AP996" s="3">
        <v>1</v>
      </c>
      <c r="AR996" s="2" t="s">
        <v>1890</v>
      </c>
    </row>
    <row r="997" spans="1:44" ht="12.75" customHeight="1">
      <c r="A997" s="4">
        <f>DATE(95,4,24)</f>
        <v>34813</v>
      </c>
      <c r="C997" s="2" t="s">
        <v>367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T997" s="3">
        <f t="shared" si="10"/>
        <v>0</v>
      </c>
      <c r="U997" s="3">
        <v>1</v>
      </c>
      <c r="V997" s="3">
        <v>3</v>
      </c>
      <c r="X997" s="2" t="s">
        <v>1840</v>
      </c>
      <c r="Y997" s="18">
        <v>1</v>
      </c>
      <c r="Z997" s="18">
        <v>0</v>
      </c>
      <c r="AA997" s="18">
        <v>0</v>
      </c>
      <c r="AB997" s="18">
        <v>1</v>
      </c>
      <c r="AC997" s="18">
        <v>0</v>
      </c>
      <c r="AD997" s="18">
        <v>1</v>
      </c>
      <c r="AE997" s="18">
        <v>2</v>
      </c>
      <c r="AN997" s="3">
        <f t="shared" si="11"/>
        <v>5</v>
      </c>
      <c r="AO997" s="3">
        <v>8</v>
      </c>
      <c r="AP997" s="3">
        <v>0</v>
      </c>
      <c r="AR997" s="2" t="s">
        <v>1891</v>
      </c>
    </row>
    <row r="998" spans="1:44" ht="12.75" customHeight="1">
      <c r="A998" s="4">
        <f>DATE(95,4,26)</f>
        <v>34815</v>
      </c>
      <c r="B998" s="2" t="s">
        <v>152</v>
      </c>
      <c r="C998" s="2" t="s">
        <v>236</v>
      </c>
      <c r="E998" s="18">
        <v>0</v>
      </c>
      <c r="F998" s="18">
        <v>0</v>
      </c>
      <c r="G998" s="18">
        <v>3</v>
      </c>
      <c r="H998" s="18">
        <v>6</v>
      </c>
      <c r="I998" s="18">
        <v>3</v>
      </c>
      <c r="T998" s="3">
        <f t="shared" si="10"/>
        <v>12</v>
      </c>
      <c r="U998" s="3">
        <v>10</v>
      </c>
      <c r="V998" s="3">
        <v>1</v>
      </c>
      <c r="X998" s="2" t="s">
        <v>1843</v>
      </c>
      <c r="Y998" s="18">
        <v>0</v>
      </c>
      <c r="Z998" s="18">
        <v>0</v>
      </c>
      <c r="AA998" s="18">
        <v>1</v>
      </c>
      <c r="AB998" s="18">
        <v>0</v>
      </c>
      <c r="AC998" s="18">
        <v>0</v>
      </c>
      <c r="AN998" s="3">
        <f t="shared" si="11"/>
        <v>1</v>
      </c>
      <c r="AO998" s="3">
        <v>2</v>
      </c>
      <c r="AP998" s="3">
        <v>2</v>
      </c>
      <c r="AR998" s="2" t="s">
        <v>1892</v>
      </c>
    </row>
    <row r="999" spans="1:44" ht="12.75" customHeight="1">
      <c r="A999" s="4">
        <f>DATE(95,4,28)</f>
        <v>34817</v>
      </c>
      <c r="C999" s="2" t="s">
        <v>374</v>
      </c>
      <c r="E999" s="18">
        <v>0</v>
      </c>
      <c r="F999" s="18">
        <v>5</v>
      </c>
      <c r="G999" s="18">
        <v>0</v>
      </c>
      <c r="H999" s="18">
        <v>3</v>
      </c>
      <c r="I999" s="18">
        <v>0</v>
      </c>
      <c r="J999" s="18">
        <v>0</v>
      </c>
      <c r="K999" s="18" t="s">
        <v>162</v>
      </c>
      <c r="T999" s="3">
        <f t="shared" si="10"/>
        <v>8</v>
      </c>
      <c r="U999" s="3">
        <v>9</v>
      </c>
      <c r="V999" s="3">
        <v>0</v>
      </c>
      <c r="X999" s="2" t="s">
        <v>1893</v>
      </c>
      <c r="Y999" s="18">
        <v>0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N999" s="3">
        <f t="shared" si="11"/>
        <v>0</v>
      </c>
      <c r="AO999" s="3">
        <v>3</v>
      </c>
      <c r="AP999" s="3">
        <v>0</v>
      </c>
      <c r="AR999" s="2" t="s">
        <v>1894</v>
      </c>
    </row>
    <row r="1000" spans="1:44" ht="12.75" customHeight="1">
      <c r="A1000" s="4">
        <f>DATE(95,5,1)</f>
        <v>34820</v>
      </c>
      <c r="B1000" s="2" t="s">
        <v>152</v>
      </c>
      <c r="C1000" s="2" t="s">
        <v>174</v>
      </c>
      <c r="E1000" s="18">
        <v>0</v>
      </c>
      <c r="F1000" s="18">
        <v>3</v>
      </c>
      <c r="G1000" s="18">
        <v>1</v>
      </c>
      <c r="H1000" s="18">
        <v>0</v>
      </c>
      <c r="I1000" s="18">
        <v>0</v>
      </c>
      <c r="J1000" s="18">
        <v>1</v>
      </c>
      <c r="K1000" s="18">
        <v>5</v>
      </c>
      <c r="T1000" s="3">
        <f t="shared" si="10"/>
        <v>10</v>
      </c>
      <c r="U1000" s="3">
        <v>12</v>
      </c>
      <c r="V1000" s="3">
        <v>1</v>
      </c>
      <c r="X1000" s="2" t="s">
        <v>1824</v>
      </c>
      <c r="Y1000" s="18">
        <v>0</v>
      </c>
      <c r="Z1000" s="18">
        <v>0</v>
      </c>
      <c r="AA1000" s="18">
        <v>0</v>
      </c>
      <c r="AB1000" s="18">
        <v>1</v>
      </c>
      <c r="AC1000" s="18">
        <v>0</v>
      </c>
      <c r="AD1000" s="18">
        <v>0</v>
      </c>
      <c r="AE1000" s="18">
        <v>0</v>
      </c>
      <c r="AN1000" s="3">
        <f t="shared" si="11"/>
        <v>1</v>
      </c>
      <c r="AO1000" s="3">
        <v>4</v>
      </c>
      <c r="AP1000" s="3">
        <v>1</v>
      </c>
      <c r="AR1000" s="2" t="s">
        <v>1895</v>
      </c>
    </row>
    <row r="1001" spans="1:44" ht="12.75" customHeight="1">
      <c r="A1001" s="4">
        <f>DATE(95,5,3)</f>
        <v>34822</v>
      </c>
      <c r="B1001" s="2" t="s">
        <v>152</v>
      </c>
      <c r="C1001" s="2" t="s">
        <v>392</v>
      </c>
      <c r="E1001" s="18">
        <v>0</v>
      </c>
      <c r="F1001" s="18">
        <v>2</v>
      </c>
      <c r="G1001" s="18">
        <v>0</v>
      </c>
      <c r="H1001" s="18">
        <v>3</v>
      </c>
      <c r="I1001" s="18">
        <v>0</v>
      </c>
      <c r="J1001" s="18">
        <v>0</v>
      </c>
      <c r="K1001" s="18">
        <v>1</v>
      </c>
      <c r="T1001" s="3">
        <f t="shared" si="10"/>
        <v>6</v>
      </c>
      <c r="U1001" s="3">
        <v>10</v>
      </c>
      <c r="V1001" s="3">
        <v>2</v>
      </c>
      <c r="X1001" s="2" t="s">
        <v>1896</v>
      </c>
      <c r="Y1001" s="18">
        <v>0</v>
      </c>
      <c r="Z1001" s="18">
        <v>2</v>
      </c>
      <c r="AA1001" s="18">
        <v>3</v>
      </c>
      <c r="AB1001" s="18">
        <v>0</v>
      </c>
      <c r="AC1001" s="18">
        <v>2</v>
      </c>
      <c r="AD1001" s="18">
        <v>1</v>
      </c>
      <c r="AE1001" s="18" t="s">
        <v>162</v>
      </c>
      <c r="AN1001" s="3">
        <f t="shared" si="11"/>
        <v>8</v>
      </c>
      <c r="AO1001" s="3">
        <v>10</v>
      </c>
      <c r="AP1001" s="3">
        <v>3</v>
      </c>
      <c r="AR1001" s="2" t="s">
        <v>1897</v>
      </c>
    </row>
    <row r="1002" spans="1:44" ht="12.75" customHeight="1">
      <c r="A1002" s="4">
        <f>DATE(95,5,5)</f>
        <v>34824</v>
      </c>
      <c r="C1002" s="2" t="s">
        <v>236</v>
      </c>
      <c r="E1002" s="18">
        <v>0</v>
      </c>
      <c r="F1002" s="18">
        <v>0</v>
      </c>
      <c r="G1002" s="18">
        <v>2</v>
      </c>
      <c r="H1002" s="18">
        <v>0</v>
      </c>
      <c r="I1002" s="18">
        <v>0</v>
      </c>
      <c r="J1002" s="18">
        <v>1</v>
      </c>
      <c r="K1002" s="18">
        <v>2</v>
      </c>
      <c r="T1002" s="3">
        <f t="shared" si="10"/>
        <v>5</v>
      </c>
      <c r="U1002" s="3">
        <v>6</v>
      </c>
      <c r="V1002" s="3">
        <v>1</v>
      </c>
      <c r="X1002" s="2" t="s">
        <v>1893</v>
      </c>
      <c r="Y1002" s="18">
        <v>3</v>
      </c>
      <c r="Z1002" s="18">
        <v>0</v>
      </c>
      <c r="AA1002" s="18">
        <v>1</v>
      </c>
      <c r="AB1002" s="18">
        <v>0</v>
      </c>
      <c r="AC1002" s="18">
        <v>1</v>
      </c>
      <c r="AD1002" s="18">
        <v>0</v>
      </c>
      <c r="AE1002" s="18">
        <v>1</v>
      </c>
      <c r="AN1002" s="3">
        <f t="shared" si="11"/>
        <v>6</v>
      </c>
      <c r="AO1002" s="3">
        <v>7</v>
      </c>
      <c r="AP1002" s="3">
        <v>1</v>
      </c>
      <c r="AR1002" s="2" t="s">
        <v>1898</v>
      </c>
    </row>
    <row r="1003" spans="1:44" ht="12.75" customHeight="1">
      <c r="A1003" s="4">
        <f>DATE(95,5,6)</f>
        <v>34825</v>
      </c>
      <c r="B1003" s="2" t="s">
        <v>152</v>
      </c>
      <c r="C1003" s="2" t="s">
        <v>183</v>
      </c>
      <c r="E1003" s="18">
        <v>0</v>
      </c>
      <c r="F1003" s="18">
        <v>1</v>
      </c>
      <c r="G1003" s="18">
        <v>3</v>
      </c>
      <c r="H1003" s="18">
        <v>4</v>
      </c>
      <c r="I1003" s="18">
        <v>0</v>
      </c>
      <c r="J1003" s="18">
        <v>1</v>
      </c>
      <c r="K1003" s="18">
        <v>1</v>
      </c>
      <c r="T1003" s="3">
        <f t="shared" si="10"/>
        <v>10</v>
      </c>
      <c r="U1003" s="3">
        <v>11</v>
      </c>
      <c r="V1003" s="3">
        <v>0</v>
      </c>
      <c r="X1003" s="2" t="s">
        <v>1843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N1003" s="3">
        <f t="shared" si="11"/>
        <v>0</v>
      </c>
      <c r="AO1003" s="3">
        <v>1</v>
      </c>
      <c r="AP1003" s="3">
        <v>1</v>
      </c>
      <c r="AR1003" s="2" t="s">
        <v>2406</v>
      </c>
    </row>
    <row r="1004" spans="1:44" ht="12.75" customHeight="1">
      <c r="A1004" s="4">
        <f>DATE(95,5,9)</f>
        <v>34828</v>
      </c>
      <c r="B1004" s="2" t="s">
        <v>152</v>
      </c>
      <c r="C1004" s="2" t="s">
        <v>175</v>
      </c>
      <c r="E1004" s="18">
        <v>2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  <c r="L1004" s="18">
        <v>0</v>
      </c>
      <c r="T1004" s="3">
        <f t="shared" si="10"/>
        <v>2</v>
      </c>
      <c r="U1004" s="3">
        <v>8</v>
      </c>
      <c r="V1004" s="3">
        <v>0</v>
      </c>
      <c r="X1004" s="2" t="s">
        <v>1899</v>
      </c>
      <c r="Y1004" s="18">
        <v>0</v>
      </c>
      <c r="Z1004" s="18">
        <v>0</v>
      </c>
      <c r="AA1004" s="18">
        <v>0</v>
      </c>
      <c r="AB1004" s="18">
        <v>0</v>
      </c>
      <c r="AC1004" s="18">
        <v>2</v>
      </c>
      <c r="AD1004" s="18">
        <v>0</v>
      </c>
      <c r="AE1004" s="18">
        <v>0</v>
      </c>
      <c r="AF1004" s="18">
        <v>1</v>
      </c>
      <c r="AN1004" s="3">
        <f t="shared" si="11"/>
        <v>3</v>
      </c>
      <c r="AO1004" s="3">
        <v>7</v>
      </c>
      <c r="AP1004" s="3">
        <v>2</v>
      </c>
      <c r="AR1004" s="2" t="s">
        <v>1900</v>
      </c>
    </row>
    <row r="1005" spans="1:44" ht="12.75" customHeight="1">
      <c r="A1005" s="4">
        <f>DATE(95,5,11)</f>
        <v>34830</v>
      </c>
      <c r="B1005" s="2" t="s">
        <v>152</v>
      </c>
      <c r="C1005" s="2" t="s">
        <v>191</v>
      </c>
      <c r="E1005" s="18">
        <v>1</v>
      </c>
      <c r="F1005" s="18">
        <v>0</v>
      </c>
      <c r="G1005" s="18">
        <v>0</v>
      </c>
      <c r="H1005" s="18">
        <v>0</v>
      </c>
      <c r="I1005" s="18">
        <v>0</v>
      </c>
      <c r="J1005" s="18">
        <v>0</v>
      </c>
      <c r="K1005" s="18">
        <v>2</v>
      </c>
      <c r="T1005" s="3">
        <f t="shared" si="10"/>
        <v>3</v>
      </c>
      <c r="U1005" s="3">
        <v>6</v>
      </c>
      <c r="V1005" s="3">
        <v>3</v>
      </c>
      <c r="X1005" s="2" t="s">
        <v>1901</v>
      </c>
      <c r="Y1005" s="18">
        <v>2</v>
      </c>
      <c r="Z1005" s="18">
        <v>2</v>
      </c>
      <c r="AA1005" s="18">
        <v>0</v>
      </c>
      <c r="AB1005" s="18">
        <v>0</v>
      </c>
      <c r="AC1005" s="18">
        <v>1</v>
      </c>
      <c r="AD1005" s="18">
        <v>0</v>
      </c>
      <c r="AE1005" s="18" t="s">
        <v>162</v>
      </c>
      <c r="AN1005" s="3">
        <f t="shared" si="11"/>
        <v>5</v>
      </c>
      <c r="AO1005" s="3">
        <v>7</v>
      </c>
      <c r="AP1005" s="3">
        <v>3</v>
      </c>
      <c r="AR1005" s="2" t="s">
        <v>1902</v>
      </c>
    </row>
    <row r="1006" spans="1:44" ht="12.75" customHeight="1">
      <c r="A1006" s="4">
        <f>DATE(95,5,15)</f>
        <v>34834</v>
      </c>
      <c r="C1006" s="2" t="s">
        <v>367</v>
      </c>
      <c r="E1006" s="18">
        <v>0</v>
      </c>
      <c r="F1006" s="18">
        <v>6</v>
      </c>
      <c r="G1006" s="18">
        <v>7</v>
      </c>
      <c r="H1006" s="18">
        <v>7</v>
      </c>
      <c r="I1006" s="18" t="s">
        <v>162</v>
      </c>
      <c r="T1006" s="3">
        <f t="shared" si="10"/>
        <v>20</v>
      </c>
      <c r="U1006" s="3">
        <v>13</v>
      </c>
      <c r="V1006" s="3">
        <v>1</v>
      </c>
      <c r="X1006" s="2" t="s">
        <v>1856</v>
      </c>
      <c r="Y1006" s="18">
        <v>0</v>
      </c>
      <c r="Z1006" s="18">
        <v>0</v>
      </c>
      <c r="AA1006" s="18">
        <v>0</v>
      </c>
      <c r="AB1006" s="18">
        <v>0</v>
      </c>
      <c r="AC1006" s="18">
        <v>0</v>
      </c>
      <c r="AN1006" s="3">
        <f t="shared" si="11"/>
        <v>0</v>
      </c>
      <c r="AO1006" s="3">
        <v>0</v>
      </c>
      <c r="AP1006" s="3">
        <v>5</v>
      </c>
      <c r="AR1006" s="2" t="s">
        <v>2404</v>
      </c>
    </row>
    <row r="1007" spans="1:44" ht="12.75" customHeight="1">
      <c r="A1007" s="4">
        <f>DATE(95,5,16)</f>
        <v>34835</v>
      </c>
      <c r="C1007" s="2" t="s">
        <v>305</v>
      </c>
      <c r="E1007" s="18">
        <v>2</v>
      </c>
      <c r="F1007" s="18">
        <v>1</v>
      </c>
      <c r="G1007" s="18">
        <v>2</v>
      </c>
      <c r="H1007" s="18">
        <v>2</v>
      </c>
      <c r="I1007" s="18">
        <v>4</v>
      </c>
      <c r="J1007" s="18" t="s">
        <v>162</v>
      </c>
      <c r="T1007" s="3">
        <f t="shared" si="10"/>
        <v>11</v>
      </c>
      <c r="U1007" s="3">
        <v>10</v>
      </c>
      <c r="V1007" s="3">
        <v>2</v>
      </c>
      <c r="X1007" s="2" t="s">
        <v>1903</v>
      </c>
      <c r="Y1007" s="18">
        <v>0</v>
      </c>
      <c r="Z1007" s="18">
        <v>0</v>
      </c>
      <c r="AA1007" s="18">
        <v>0</v>
      </c>
      <c r="AB1007" s="18">
        <v>0</v>
      </c>
      <c r="AC1007" s="18">
        <v>0</v>
      </c>
      <c r="AN1007" s="3">
        <f t="shared" si="11"/>
        <v>0</v>
      </c>
      <c r="AO1007" s="3">
        <v>0</v>
      </c>
      <c r="AP1007" s="3">
        <v>1</v>
      </c>
      <c r="AR1007" s="2" t="s">
        <v>1904</v>
      </c>
    </row>
    <row r="1008" spans="1:44" ht="12.75" customHeight="1">
      <c r="A1008" s="4">
        <f>DATE(95,5,26)</f>
        <v>34845</v>
      </c>
      <c r="B1008" s="2" t="s">
        <v>239</v>
      </c>
      <c r="C1008" s="2" t="s">
        <v>191</v>
      </c>
      <c r="D1008" s="2" t="s">
        <v>258</v>
      </c>
      <c r="E1008" s="18">
        <v>0</v>
      </c>
      <c r="F1008" s="18">
        <v>0</v>
      </c>
      <c r="G1008" s="18">
        <v>0</v>
      </c>
      <c r="H1008" s="18">
        <v>1</v>
      </c>
      <c r="I1008" s="18">
        <v>1</v>
      </c>
      <c r="J1008" s="18">
        <v>0</v>
      </c>
      <c r="K1008" s="18">
        <v>0</v>
      </c>
      <c r="T1008" s="3">
        <f t="shared" si="10"/>
        <v>2</v>
      </c>
      <c r="U1008" s="3">
        <v>6</v>
      </c>
      <c r="V1008" s="3">
        <v>1</v>
      </c>
      <c r="X1008" s="2" t="s">
        <v>1824</v>
      </c>
      <c r="Y1008" s="18">
        <v>0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  <c r="AE1008" s="18">
        <v>3</v>
      </c>
      <c r="AN1008" s="3">
        <f t="shared" si="11"/>
        <v>3</v>
      </c>
      <c r="AO1008" s="3">
        <v>6</v>
      </c>
      <c r="AP1008" s="3">
        <v>0</v>
      </c>
      <c r="AR1008" s="2" t="s">
        <v>1905</v>
      </c>
    </row>
    <row r="1009" ht="12.75" customHeight="1">
      <c r="A1009" s="4"/>
    </row>
    <row r="1010" spans="1:45" ht="12.75" customHeight="1">
      <c r="A1010" s="4">
        <v>35157</v>
      </c>
      <c r="B1010" s="2" t="s">
        <v>152</v>
      </c>
      <c r="C1010" s="2" t="s">
        <v>191</v>
      </c>
      <c r="E1010" s="18">
        <v>0</v>
      </c>
      <c r="F1010" s="18">
        <v>0</v>
      </c>
      <c r="G1010" s="18">
        <v>0</v>
      </c>
      <c r="H1010" s="18">
        <v>0</v>
      </c>
      <c r="I1010" s="18">
        <v>0</v>
      </c>
      <c r="T1010" s="3">
        <f t="shared" si="10"/>
        <v>0</v>
      </c>
      <c r="U1010" s="3">
        <v>1</v>
      </c>
      <c r="V1010" s="3">
        <v>2</v>
      </c>
      <c r="X1010" s="2" t="s">
        <v>1261</v>
      </c>
      <c r="Y1010" s="18">
        <v>0</v>
      </c>
      <c r="Z1010" s="18">
        <v>3</v>
      </c>
      <c r="AA1010" s="18">
        <v>6</v>
      </c>
      <c r="AB1010" s="18">
        <v>1</v>
      </c>
      <c r="AC1010" s="18" t="s">
        <v>162</v>
      </c>
      <c r="AN1010" s="3">
        <f t="shared" si="11"/>
        <v>10</v>
      </c>
      <c r="AO1010" s="3">
        <v>8</v>
      </c>
      <c r="AP1010" s="3">
        <v>3</v>
      </c>
      <c r="AR1010" s="2" t="s">
        <v>1260</v>
      </c>
      <c r="AS1010" s="2" t="s">
        <v>1848</v>
      </c>
    </row>
    <row r="1011" spans="1:46" ht="12.75" customHeight="1">
      <c r="A1011" s="4">
        <v>35158</v>
      </c>
      <c r="B1011" s="2" t="s">
        <v>152</v>
      </c>
      <c r="C1011" s="2" t="s">
        <v>236</v>
      </c>
      <c r="E1011" s="18">
        <v>1</v>
      </c>
      <c r="F1011" s="18">
        <v>0</v>
      </c>
      <c r="G1011" s="18">
        <v>0</v>
      </c>
      <c r="H1011" s="18">
        <v>0</v>
      </c>
      <c r="I1011" s="18">
        <v>0</v>
      </c>
      <c r="J1011" s="18">
        <v>0</v>
      </c>
      <c r="K1011" s="18">
        <v>0</v>
      </c>
      <c r="T1011" s="3">
        <f t="shared" si="10"/>
        <v>1</v>
      </c>
      <c r="U1011" s="3">
        <v>1</v>
      </c>
      <c r="V1011" s="3">
        <v>1</v>
      </c>
      <c r="X1011" s="2" t="s">
        <v>1262</v>
      </c>
      <c r="Y1011" s="18">
        <v>0</v>
      </c>
      <c r="Z1011" s="18">
        <v>0</v>
      </c>
      <c r="AA1011" s="18">
        <v>1</v>
      </c>
      <c r="AB1011" s="18">
        <v>2</v>
      </c>
      <c r="AC1011" s="18">
        <v>4</v>
      </c>
      <c r="AD1011" s="18">
        <v>1</v>
      </c>
      <c r="AE1011" s="18" t="s">
        <v>162</v>
      </c>
      <c r="AN1011" s="3">
        <f t="shared" si="11"/>
        <v>8</v>
      </c>
      <c r="AO1011" s="3">
        <v>11</v>
      </c>
      <c r="AP1011" s="3">
        <v>3</v>
      </c>
      <c r="AR1011" s="2" t="s">
        <v>1272</v>
      </c>
      <c r="AS1011" s="2" t="s">
        <v>326</v>
      </c>
      <c r="AT1011" s="2">
        <v>12</v>
      </c>
    </row>
    <row r="1012" spans="1:44" ht="12.75" customHeight="1">
      <c r="A1012" s="4">
        <v>35159</v>
      </c>
      <c r="B1012" s="2" t="s">
        <v>152</v>
      </c>
      <c r="C1012" s="2" t="s">
        <v>379</v>
      </c>
      <c r="E1012" s="18">
        <v>0</v>
      </c>
      <c r="F1012" s="18">
        <v>1</v>
      </c>
      <c r="G1012" s="18">
        <v>0</v>
      </c>
      <c r="H1012" s="18">
        <v>0</v>
      </c>
      <c r="I1012" s="18">
        <v>0</v>
      </c>
      <c r="J1012" s="18">
        <v>0</v>
      </c>
      <c r="K1012" s="18">
        <v>2</v>
      </c>
      <c r="T1012" s="3">
        <f t="shared" si="10"/>
        <v>3</v>
      </c>
      <c r="U1012" s="3">
        <v>2</v>
      </c>
      <c r="V1012" s="3">
        <v>3</v>
      </c>
      <c r="X1012" s="2" t="s">
        <v>1893</v>
      </c>
      <c r="Y1012" s="18">
        <v>0</v>
      </c>
      <c r="Z1012" s="18">
        <v>0</v>
      </c>
      <c r="AA1012" s="18">
        <v>0</v>
      </c>
      <c r="AB1012" s="18">
        <v>1</v>
      </c>
      <c r="AC1012" s="18">
        <v>0</v>
      </c>
      <c r="AD1012" s="18">
        <v>1</v>
      </c>
      <c r="AE1012" s="18">
        <v>0</v>
      </c>
      <c r="AN1012" s="3">
        <f t="shared" si="11"/>
        <v>2</v>
      </c>
      <c r="AO1012" s="3">
        <v>5</v>
      </c>
      <c r="AP1012" s="3">
        <v>3</v>
      </c>
      <c r="AR1012" s="2" t="s">
        <v>1273</v>
      </c>
    </row>
    <row r="1013" spans="1:44" ht="12.75" customHeight="1">
      <c r="A1013" s="4">
        <v>35161</v>
      </c>
      <c r="C1013" s="2" t="s">
        <v>367</v>
      </c>
      <c r="E1013" s="18">
        <v>2</v>
      </c>
      <c r="F1013" s="18">
        <v>3</v>
      </c>
      <c r="G1013" s="18">
        <v>0</v>
      </c>
      <c r="H1013" s="18">
        <v>0</v>
      </c>
      <c r="I1013" s="18">
        <v>1</v>
      </c>
      <c r="J1013" s="18">
        <v>0</v>
      </c>
      <c r="K1013" s="18" t="s">
        <v>162</v>
      </c>
      <c r="T1013" s="3">
        <f t="shared" si="10"/>
        <v>6</v>
      </c>
      <c r="U1013" s="3">
        <v>7</v>
      </c>
      <c r="V1013" s="3">
        <v>2</v>
      </c>
      <c r="X1013" s="2" t="s">
        <v>432</v>
      </c>
      <c r="Y1013" s="18">
        <v>0</v>
      </c>
      <c r="Z1013" s="18">
        <v>0</v>
      </c>
      <c r="AA1013" s="18">
        <v>0</v>
      </c>
      <c r="AB1013" s="18">
        <v>1</v>
      </c>
      <c r="AC1013" s="18">
        <v>0</v>
      </c>
      <c r="AD1013" s="18">
        <v>0</v>
      </c>
      <c r="AE1013" s="18">
        <v>0</v>
      </c>
      <c r="AN1013" s="3">
        <f t="shared" si="11"/>
        <v>1</v>
      </c>
      <c r="AO1013" s="3">
        <v>3</v>
      </c>
      <c r="AP1013" s="3">
        <v>3</v>
      </c>
      <c r="AR1013" s="2" t="s">
        <v>1274</v>
      </c>
    </row>
    <row r="1014" spans="1:44" ht="12.75" customHeight="1">
      <c r="A1014" s="4">
        <v>35166</v>
      </c>
      <c r="B1014" s="2" t="s">
        <v>152</v>
      </c>
      <c r="C1014" s="2" t="s">
        <v>137</v>
      </c>
      <c r="E1014" s="18">
        <v>1</v>
      </c>
      <c r="F1014" s="18">
        <v>0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1</v>
      </c>
      <c r="T1014" s="3">
        <f t="shared" si="10"/>
        <v>2</v>
      </c>
      <c r="U1014" s="3">
        <v>5</v>
      </c>
      <c r="V1014" s="3">
        <v>3</v>
      </c>
      <c r="X1014" s="2" t="s">
        <v>1263</v>
      </c>
      <c r="Y1014" s="18">
        <v>0</v>
      </c>
      <c r="Z1014" s="18">
        <v>0</v>
      </c>
      <c r="AA1014" s="18">
        <v>1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N1014" s="3">
        <f t="shared" si="11"/>
        <v>1</v>
      </c>
      <c r="AO1014" s="3">
        <v>3</v>
      </c>
      <c r="AP1014" s="3">
        <v>1</v>
      </c>
      <c r="AR1014" s="2" t="s">
        <v>1275</v>
      </c>
    </row>
    <row r="1015" spans="1:44" ht="12.75" customHeight="1">
      <c r="A1015" s="4">
        <v>35167</v>
      </c>
      <c r="C1015" s="2" t="s">
        <v>392</v>
      </c>
      <c r="E1015" s="18">
        <v>0</v>
      </c>
      <c r="F1015" s="18">
        <v>0</v>
      </c>
      <c r="G1015" s="18">
        <v>3</v>
      </c>
      <c r="H1015" s="18">
        <v>1</v>
      </c>
      <c r="I1015" s="18">
        <v>0</v>
      </c>
      <c r="J1015" s="18">
        <v>1</v>
      </c>
      <c r="K1015" s="18">
        <v>0</v>
      </c>
      <c r="T1015" s="3">
        <f t="shared" si="10"/>
        <v>5</v>
      </c>
      <c r="U1015" s="3">
        <v>7</v>
      </c>
      <c r="V1015" s="3">
        <v>1</v>
      </c>
      <c r="X1015" s="2" t="s">
        <v>432</v>
      </c>
      <c r="Y1015" s="18">
        <v>0</v>
      </c>
      <c r="Z1015" s="18">
        <v>1</v>
      </c>
      <c r="AA1015" s="18">
        <v>0</v>
      </c>
      <c r="AB1015" s="18">
        <v>1</v>
      </c>
      <c r="AC1015" s="18">
        <v>3</v>
      </c>
      <c r="AD1015" s="18">
        <v>2</v>
      </c>
      <c r="AE1015" s="18">
        <v>2</v>
      </c>
      <c r="AN1015" s="3">
        <f t="shared" si="11"/>
        <v>9</v>
      </c>
      <c r="AO1015" s="3">
        <v>11</v>
      </c>
      <c r="AP1015" s="3">
        <v>1</v>
      </c>
      <c r="AR1015" s="2" t="s">
        <v>1276</v>
      </c>
    </row>
    <row r="1016" spans="1:44" ht="12.75" customHeight="1">
      <c r="A1016" s="4">
        <v>35170</v>
      </c>
      <c r="B1016" s="2" t="s">
        <v>152</v>
      </c>
      <c r="C1016" s="2" t="s">
        <v>374</v>
      </c>
      <c r="E1016" s="18">
        <v>0</v>
      </c>
      <c r="F1016" s="18">
        <v>0</v>
      </c>
      <c r="G1016" s="18">
        <v>1</v>
      </c>
      <c r="H1016" s="18">
        <v>0</v>
      </c>
      <c r="I1016" s="18">
        <v>0</v>
      </c>
      <c r="J1016" s="18">
        <v>0</v>
      </c>
      <c r="T1016" s="3">
        <f t="shared" si="10"/>
        <v>1</v>
      </c>
      <c r="U1016" s="3">
        <v>4</v>
      </c>
      <c r="V1016" s="3">
        <v>0</v>
      </c>
      <c r="X1016" s="2" t="s">
        <v>1264</v>
      </c>
      <c r="Y1016" s="18">
        <v>2</v>
      </c>
      <c r="Z1016" s="18">
        <v>0</v>
      </c>
      <c r="AA1016" s="18">
        <v>1</v>
      </c>
      <c r="AB1016" s="18">
        <v>5</v>
      </c>
      <c r="AC1016" s="18">
        <v>0</v>
      </c>
      <c r="AD1016" s="18">
        <v>3</v>
      </c>
      <c r="AN1016" s="3">
        <f t="shared" si="11"/>
        <v>11</v>
      </c>
      <c r="AO1016" s="3">
        <v>6</v>
      </c>
      <c r="AP1016" s="3">
        <v>0</v>
      </c>
      <c r="AR1016" s="2" t="s">
        <v>1277</v>
      </c>
    </row>
    <row r="1017" spans="1:44" ht="12.75" customHeight="1">
      <c r="A1017" s="4">
        <v>35173</v>
      </c>
      <c r="C1017" s="2" t="s">
        <v>174</v>
      </c>
      <c r="E1017" s="18">
        <v>0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T1017" s="3">
        <f t="shared" si="10"/>
        <v>0</v>
      </c>
      <c r="U1017" s="3">
        <v>0</v>
      </c>
      <c r="V1017" s="3">
        <v>8</v>
      </c>
      <c r="X1017" s="2" t="s">
        <v>1265</v>
      </c>
      <c r="Y1017" s="18">
        <v>2</v>
      </c>
      <c r="Z1017" s="18">
        <v>4</v>
      </c>
      <c r="AA1017" s="18">
        <v>1</v>
      </c>
      <c r="AB1017" s="18">
        <v>1</v>
      </c>
      <c r="AC1017" s="18">
        <v>1</v>
      </c>
      <c r="AD1017" s="18">
        <v>3</v>
      </c>
      <c r="AN1017" s="3">
        <f t="shared" si="11"/>
        <v>12</v>
      </c>
      <c r="AO1017" s="3">
        <v>11</v>
      </c>
      <c r="AP1017" s="3">
        <v>0</v>
      </c>
      <c r="AR1017" s="2" t="s">
        <v>1278</v>
      </c>
    </row>
    <row r="1018" spans="1:44" ht="12.75" customHeight="1">
      <c r="A1018" s="4">
        <v>35177</v>
      </c>
      <c r="B1018" s="2" t="s">
        <v>152</v>
      </c>
      <c r="C1018" s="2" t="s">
        <v>175</v>
      </c>
      <c r="E1018" s="18">
        <v>0</v>
      </c>
      <c r="F1018" s="18">
        <v>0</v>
      </c>
      <c r="G1018" s="18">
        <v>0</v>
      </c>
      <c r="H1018" s="18">
        <v>0</v>
      </c>
      <c r="I1018" s="18">
        <v>4</v>
      </c>
      <c r="J1018" s="18">
        <v>0</v>
      </c>
      <c r="K1018" s="18">
        <v>1</v>
      </c>
      <c r="T1018" s="3">
        <f t="shared" si="10"/>
        <v>5</v>
      </c>
      <c r="U1018" s="3">
        <v>6</v>
      </c>
      <c r="V1018" s="3">
        <v>3</v>
      </c>
      <c r="X1018" s="2" t="s">
        <v>1266</v>
      </c>
      <c r="Y1018" s="18">
        <v>0</v>
      </c>
      <c r="Z1018" s="18">
        <v>0</v>
      </c>
      <c r="AA1018" s="18">
        <v>2</v>
      </c>
      <c r="AB1018" s="18">
        <v>3</v>
      </c>
      <c r="AC1018" s="18">
        <v>2</v>
      </c>
      <c r="AD1018" s="18">
        <v>4</v>
      </c>
      <c r="AE1018" s="18" t="s">
        <v>162</v>
      </c>
      <c r="AN1018" s="3">
        <f t="shared" si="11"/>
        <v>11</v>
      </c>
      <c r="AO1018" s="3">
        <v>13</v>
      </c>
      <c r="AP1018" s="3">
        <v>3</v>
      </c>
      <c r="AR1018" s="2" t="s">
        <v>1279</v>
      </c>
    </row>
    <row r="1019" spans="1:44" ht="12.75" customHeight="1">
      <c r="A1019" s="4">
        <v>35179</v>
      </c>
      <c r="C1019" s="2" t="s">
        <v>379</v>
      </c>
      <c r="E1019" s="18">
        <v>0</v>
      </c>
      <c r="F1019" s="18">
        <v>0</v>
      </c>
      <c r="G1019" s="18">
        <v>0</v>
      </c>
      <c r="H1019" s="18">
        <v>2</v>
      </c>
      <c r="I1019" s="18">
        <v>2</v>
      </c>
      <c r="J1019" s="18">
        <v>0</v>
      </c>
      <c r="K1019" s="18">
        <v>2</v>
      </c>
      <c r="T1019" s="3">
        <f t="shared" si="10"/>
        <v>6</v>
      </c>
      <c r="U1019" s="3">
        <v>5</v>
      </c>
      <c r="V1019" s="3">
        <v>0</v>
      </c>
      <c r="X1019" s="2" t="s">
        <v>1893</v>
      </c>
      <c r="Y1019" s="18">
        <v>3</v>
      </c>
      <c r="Z1019" s="18">
        <v>0</v>
      </c>
      <c r="AA1019" s="18">
        <v>0</v>
      </c>
      <c r="AB1019" s="18">
        <v>0</v>
      </c>
      <c r="AC1019" s="18">
        <v>0</v>
      </c>
      <c r="AD1019" s="18">
        <v>1</v>
      </c>
      <c r="AE1019" s="18">
        <v>0</v>
      </c>
      <c r="AN1019" s="3">
        <f t="shared" si="11"/>
        <v>4</v>
      </c>
      <c r="AO1019" s="3">
        <v>3</v>
      </c>
      <c r="AP1019" s="3">
        <v>1</v>
      </c>
      <c r="AR1019" s="2" t="s">
        <v>1280</v>
      </c>
    </row>
    <row r="1020" spans="1:44" ht="12.75" customHeight="1">
      <c r="A1020" s="4">
        <v>35180</v>
      </c>
      <c r="C1020" s="2" t="s">
        <v>305</v>
      </c>
      <c r="E1020" s="18">
        <v>0</v>
      </c>
      <c r="F1020" s="18">
        <v>0</v>
      </c>
      <c r="G1020" s="18">
        <v>1</v>
      </c>
      <c r="H1020" s="18">
        <v>0</v>
      </c>
      <c r="I1020" s="18">
        <v>0</v>
      </c>
      <c r="J1020" s="18">
        <v>1</v>
      </c>
      <c r="K1020" s="18">
        <v>2</v>
      </c>
      <c r="T1020" s="3">
        <f t="shared" si="10"/>
        <v>4</v>
      </c>
      <c r="U1020" s="3">
        <v>8</v>
      </c>
      <c r="V1020" s="3">
        <v>2</v>
      </c>
      <c r="X1020" s="2" t="s">
        <v>432</v>
      </c>
      <c r="Y1020" s="18">
        <v>0</v>
      </c>
      <c r="Z1020" s="18">
        <v>0</v>
      </c>
      <c r="AA1020" s="18">
        <v>0</v>
      </c>
      <c r="AB1020" s="18">
        <v>0</v>
      </c>
      <c r="AC1020" s="18">
        <v>3</v>
      </c>
      <c r="AD1020" s="18">
        <v>0</v>
      </c>
      <c r="AE1020" s="18">
        <v>0</v>
      </c>
      <c r="AN1020" s="3">
        <f t="shared" si="11"/>
        <v>3</v>
      </c>
      <c r="AO1020" s="3">
        <v>4</v>
      </c>
      <c r="AP1020" s="3">
        <v>2</v>
      </c>
      <c r="AR1020" s="2" t="s">
        <v>1281</v>
      </c>
    </row>
    <row r="1021" spans="1:44" ht="12.75" customHeight="1">
      <c r="A1021" s="4">
        <v>35181</v>
      </c>
      <c r="C1021" s="2" t="s">
        <v>374</v>
      </c>
      <c r="E1021" s="18">
        <v>0</v>
      </c>
      <c r="F1021" s="18">
        <v>1</v>
      </c>
      <c r="G1021" s="18">
        <v>1</v>
      </c>
      <c r="H1021" s="18">
        <v>0</v>
      </c>
      <c r="I1021" s="18">
        <v>3</v>
      </c>
      <c r="J1021" s="18">
        <v>0</v>
      </c>
      <c r="K1021" s="18">
        <v>0</v>
      </c>
      <c r="T1021" s="3">
        <f t="shared" si="10"/>
        <v>5</v>
      </c>
      <c r="U1021" s="3">
        <v>8</v>
      </c>
      <c r="V1021" s="3">
        <v>3</v>
      </c>
      <c r="X1021" s="2" t="s">
        <v>1267</v>
      </c>
      <c r="Y1021" s="18">
        <v>0</v>
      </c>
      <c r="Z1021" s="18">
        <v>0</v>
      </c>
      <c r="AA1021" s="18">
        <v>0</v>
      </c>
      <c r="AB1021" s="18">
        <v>1</v>
      </c>
      <c r="AC1021" s="18">
        <v>0</v>
      </c>
      <c r="AD1021" s="18">
        <v>1</v>
      </c>
      <c r="AE1021" s="18">
        <v>0</v>
      </c>
      <c r="AN1021" s="3">
        <f t="shared" si="11"/>
        <v>2</v>
      </c>
      <c r="AO1021" s="3">
        <v>2</v>
      </c>
      <c r="AP1021" s="3">
        <v>0</v>
      </c>
      <c r="AR1021" s="2" t="s">
        <v>1282</v>
      </c>
    </row>
    <row r="1022" spans="1:44" ht="12.75" customHeight="1">
      <c r="A1022" s="4">
        <v>35182</v>
      </c>
      <c r="C1022" s="2" t="s">
        <v>192</v>
      </c>
      <c r="E1022" s="18">
        <v>0</v>
      </c>
      <c r="F1022" s="18">
        <v>0</v>
      </c>
      <c r="G1022" s="18">
        <v>0</v>
      </c>
      <c r="H1022" s="18">
        <v>1</v>
      </c>
      <c r="I1022" s="18">
        <v>1</v>
      </c>
      <c r="J1022" s="18">
        <v>0</v>
      </c>
      <c r="K1022" s="18">
        <v>0</v>
      </c>
      <c r="T1022" s="3">
        <f t="shared" si="10"/>
        <v>2</v>
      </c>
      <c r="U1022" s="3">
        <v>1</v>
      </c>
      <c r="V1022" s="3">
        <v>2</v>
      </c>
      <c r="X1022" s="2" t="s">
        <v>1268</v>
      </c>
      <c r="Y1022" s="18">
        <v>1</v>
      </c>
      <c r="Z1022" s="18">
        <v>0</v>
      </c>
      <c r="AA1022" s="18">
        <v>4</v>
      </c>
      <c r="AB1022" s="18">
        <v>3</v>
      </c>
      <c r="AC1022" s="18">
        <v>2</v>
      </c>
      <c r="AD1022" s="18">
        <v>1</v>
      </c>
      <c r="AE1022" s="18">
        <v>0</v>
      </c>
      <c r="AN1022" s="3">
        <f t="shared" si="11"/>
        <v>11</v>
      </c>
      <c r="AO1022" s="3">
        <v>13</v>
      </c>
      <c r="AP1022" s="3">
        <v>4</v>
      </c>
      <c r="AR1022" s="2" t="s">
        <v>1283</v>
      </c>
    </row>
    <row r="1023" spans="1:44" ht="12.75" customHeight="1">
      <c r="A1023" s="4">
        <v>35186</v>
      </c>
      <c r="C1023" s="2" t="s">
        <v>137</v>
      </c>
      <c r="E1023" s="18">
        <v>4</v>
      </c>
      <c r="F1023" s="18">
        <v>0</v>
      </c>
      <c r="G1023" s="18">
        <v>0</v>
      </c>
      <c r="H1023" s="18">
        <v>0</v>
      </c>
      <c r="I1023" s="18">
        <v>3</v>
      </c>
      <c r="J1023" s="18">
        <v>0</v>
      </c>
      <c r="K1023" s="18" t="s">
        <v>162</v>
      </c>
      <c r="T1023" s="3">
        <f t="shared" si="10"/>
        <v>7</v>
      </c>
      <c r="U1023" s="3">
        <v>7</v>
      </c>
      <c r="V1023" s="3">
        <v>0</v>
      </c>
      <c r="X1023" s="2" t="s">
        <v>1893</v>
      </c>
      <c r="Y1023" s="18">
        <v>0</v>
      </c>
      <c r="Z1023" s="18">
        <v>0</v>
      </c>
      <c r="AA1023" s="18">
        <v>0</v>
      </c>
      <c r="AB1023" s="18">
        <v>0</v>
      </c>
      <c r="AC1023" s="18">
        <v>0</v>
      </c>
      <c r="AD1023" s="18">
        <v>0</v>
      </c>
      <c r="AE1023" s="18">
        <v>0</v>
      </c>
      <c r="AN1023" s="3">
        <f t="shared" si="11"/>
        <v>0</v>
      </c>
      <c r="AO1023" s="3">
        <v>0</v>
      </c>
      <c r="AP1023" s="3">
        <v>3</v>
      </c>
      <c r="AR1023" s="2" t="s">
        <v>1284</v>
      </c>
    </row>
    <row r="1024" spans="1:44" ht="12.75" customHeight="1">
      <c r="A1024" s="4">
        <v>35187</v>
      </c>
      <c r="B1024" s="2" t="s">
        <v>152</v>
      </c>
      <c r="C1024" s="2" t="s">
        <v>174</v>
      </c>
      <c r="E1024" s="18">
        <v>0</v>
      </c>
      <c r="F1024" s="18">
        <v>2</v>
      </c>
      <c r="G1024" s="18">
        <v>0</v>
      </c>
      <c r="H1024" s="18">
        <v>3</v>
      </c>
      <c r="I1024" s="18">
        <v>3</v>
      </c>
      <c r="J1024" s="18">
        <v>0</v>
      </c>
      <c r="K1024" s="18">
        <v>0</v>
      </c>
      <c r="T1024" s="3">
        <f t="shared" si="10"/>
        <v>8</v>
      </c>
      <c r="U1024" s="3">
        <v>10</v>
      </c>
      <c r="V1024" s="3">
        <v>3</v>
      </c>
      <c r="X1024" s="2" t="s">
        <v>1269</v>
      </c>
      <c r="Y1024" s="18">
        <v>2</v>
      </c>
      <c r="Z1024" s="18">
        <v>0</v>
      </c>
      <c r="AA1024" s="18">
        <v>7</v>
      </c>
      <c r="AB1024" s="18">
        <v>0</v>
      </c>
      <c r="AC1024" s="18">
        <v>1</v>
      </c>
      <c r="AD1024" s="18">
        <v>0</v>
      </c>
      <c r="AE1024" s="18" t="s">
        <v>162</v>
      </c>
      <c r="AN1024" s="3">
        <f t="shared" si="11"/>
        <v>10</v>
      </c>
      <c r="AO1024" s="3">
        <v>9</v>
      </c>
      <c r="AP1024" s="3">
        <v>4</v>
      </c>
      <c r="AR1024" s="2" t="s">
        <v>1285</v>
      </c>
    </row>
    <row r="1025" spans="1:44" ht="12.75" customHeight="1">
      <c r="A1025" s="4">
        <v>35189</v>
      </c>
      <c r="C1025" s="2" t="s">
        <v>183</v>
      </c>
      <c r="E1025" s="18">
        <v>0</v>
      </c>
      <c r="F1025" s="18">
        <v>0</v>
      </c>
      <c r="G1025" s="18">
        <v>0</v>
      </c>
      <c r="H1025" s="18">
        <v>3</v>
      </c>
      <c r="I1025" s="18">
        <v>0</v>
      </c>
      <c r="J1025" s="18">
        <v>2</v>
      </c>
      <c r="K1025" s="18" t="s">
        <v>162</v>
      </c>
      <c r="T1025" s="3">
        <f t="shared" si="10"/>
        <v>5</v>
      </c>
      <c r="U1025" s="3">
        <v>7</v>
      </c>
      <c r="V1025" s="3">
        <v>0</v>
      </c>
      <c r="X1025" s="2" t="s">
        <v>432</v>
      </c>
      <c r="Y1025" s="18">
        <v>0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  <c r="AE1025" s="18">
        <v>1</v>
      </c>
      <c r="AN1025" s="3">
        <f t="shared" si="11"/>
        <v>1</v>
      </c>
      <c r="AO1025" s="3">
        <v>4</v>
      </c>
      <c r="AP1025" s="3">
        <v>0</v>
      </c>
      <c r="AR1025" s="2" t="s">
        <v>1286</v>
      </c>
    </row>
    <row r="1026" spans="1:44" ht="12.75" customHeight="1">
      <c r="A1026" s="4">
        <v>35192</v>
      </c>
      <c r="B1026" s="2" t="s">
        <v>152</v>
      </c>
      <c r="C1026" s="2" t="s">
        <v>392</v>
      </c>
      <c r="E1026" s="18">
        <v>1</v>
      </c>
      <c r="F1026" s="18">
        <v>0</v>
      </c>
      <c r="G1026" s="18">
        <v>0</v>
      </c>
      <c r="H1026" s="18">
        <v>0</v>
      </c>
      <c r="I1026" s="18">
        <v>0</v>
      </c>
      <c r="J1026" s="18">
        <v>3</v>
      </c>
      <c r="K1026" s="18">
        <v>0</v>
      </c>
      <c r="L1026" s="18">
        <v>0</v>
      </c>
      <c r="M1026" s="18">
        <v>0</v>
      </c>
      <c r="N1026" s="18">
        <v>0</v>
      </c>
      <c r="T1026" s="3">
        <f t="shared" si="10"/>
        <v>4</v>
      </c>
      <c r="U1026" s="3">
        <v>8</v>
      </c>
      <c r="V1026" s="3">
        <v>4</v>
      </c>
      <c r="X1026" s="2" t="s">
        <v>1270</v>
      </c>
      <c r="Y1026" s="18">
        <v>1</v>
      </c>
      <c r="Z1026" s="18">
        <v>1</v>
      </c>
      <c r="AA1026" s="18">
        <v>2</v>
      </c>
      <c r="AB1026" s="18">
        <v>0</v>
      </c>
      <c r="AC1026" s="18">
        <v>0</v>
      </c>
      <c r="AD1026" s="18">
        <v>0</v>
      </c>
      <c r="AE1026" s="18">
        <v>0</v>
      </c>
      <c r="AF1026" s="18">
        <v>0</v>
      </c>
      <c r="AG1026" s="18">
        <v>0</v>
      </c>
      <c r="AH1026" s="18">
        <v>1</v>
      </c>
      <c r="AN1026" s="3">
        <f t="shared" si="11"/>
        <v>5</v>
      </c>
      <c r="AO1026" s="3">
        <v>8</v>
      </c>
      <c r="AP1026" s="3">
        <v>2</v>
      </c>
      <c r="AR1026" s="2" t="s">
        <v>2382</v>
      </c>
    </row>
    <row r="1027" spans="1:44" ht="12.75" customHeight="1">
      <c r="A1027" s="4">
        <v>35198</v>
      </c>
      <c r="C1027" s="2" t="s">
        <v>236</v>
      </c>
      <c r="E1027" s="18">
        <v>3</v>
      </c>
      <c r="F1027" s="18">
        <v>1</v>
      </c>
      <c r="G1027" s="18">
        <v>0</v>
      </c>
      <c r="H1027" s="18">
        <v>0</v>
      </c>
      <c r="I1027" s="18">
        <v>1</v>
      </c>
      <c r="J1027" s="18">
        <v>0</v>
      </c>
      <c r="K1027" s="18">
        <v>1</v>
      </c>
      <c r="T1027" s="3">
        <f t="shared" si="10"/>
        <v>6</v>
      </c>
      <c r="U1027" s="3">
        <v>4</v>
      </c>
      <c r="V1027" s="3">
        <v>2</v>
      </c>
      <c r="X1027" s="2" t="s">
        <v>1893</v>
      </c>
      <c r="Y1027" s="18">
        <v>1</v>
      </c>
      <c r="Z1027" s="18">
        <v>1</v>
      </c>
      <c r="AA1027" s="18">
        <v>0</v>
      </c>
      <c r="AB1027" s="18">
        <v>5</v>
      </c>
      <c r="AC1027" s="18">
        <v>0</v>
      </c>
      <c r="AD1027" s="18">
        <v>0</v>
      </c>
      <c r="AE1027" s="18">
        <v>0</v>
      </c>
      <c r="AN1027" s="3">
        <f t="shared" si="11"/>
        <v>7</v>
      </c>
      <c r="AO1027" s="3">
        <v>12</v>
      </c>
      <c r="AP1027" s="3">
        <v>4</v>
      </c>
      <c r="AR1027" s="2" t="s">
        <v>1287</v>
      </c>
    </row>
    <row r="1028" spans="1:44" ht="12.75" customHeight="1">
      <c r="A1028" s="4">
        <v>35169</v>
      </c>
      <c r="C1028" s="2" t="s">
        <v>191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T1028" s="3">
        <f t="shared" si="10"/>
        <v>0</v>
      </c>
      <c r="U1028" s="3">
        <v>4</v>
      </c>
      <c r="V1028" s="3">
        <v>0</v>
      </c>
      <c r="X1028" s="2" t="s">
        <v>432</v>
      </c>
      <c r="Y1028" s="18">
        <v>0</v>
      </c>
      <c r="Z1028" s="18">
        <v>0</v>
      </c>
      <c r="AA1028" s="18">
        <v>0</v>
      </c>
      <c r="AB1028" s="18">
        <v>1</v>
      </c>
      <c r="AC1028" s="18">
        <v>0</v>
      </c>
      <c r="AD1028" s="18">
        <v>0</v>
      </c>
      <c r="AE1028" s="18">
        <v>2</v>
      </c>
      <c r="AN1028" s="3">
        <f t="shared" si="11"/>
        <v>3</v>
      </c>
      <c r="AO1028" s="3">
        <v>5</v>
      </c>
      <c r="AP1028" s="3">
        <v>1</v>
      </c>
      <c r="AR1028" s="2" t="s">
        <v>1288</v>
      </c>
    </row>
    <row r="1029" spans="1:44" ht="12.75" customHeight="1">
      <c r="A1029" s="4">
        <v>35202</v>
      </c>
      <c r="C1029" s="2" t="s">
        <v>138</v>
      </c>
      <c r="D1029" s="2" t="s">
        <v>258</v>
      </c>
      <c r="E1029" s="18">
        <v>0</v>
      </c>
      <c r="F1029" s="18">
        <v>0</v>
      </c>
      <c r="G1029" s="18">
        <v>8</v>
      </c>
      <c r="H1029" s="18">
        <v>2</v>
      </c>
      <c r="I1029" s="18">
        <v>3</v>
      </c>
      <c r="T1029" s="3">
        <f t="shared" si="10"/>
        <v>13</v>
      </c>
      <c r="U1029" s="3">
        <v>11</v>
      </c>
      <c r="V1029" s="3">
        <v>3</v>
      </c>
      <c r="X1029" s="2" t="s">
        <v>1903</v>
      </c>
      <c r="Y1029" s="18">
        <v>0</v>
      </c>
      <c r="Z1029" s="18">
        <v>1</v>
      </c>
      <c r="AA1029" s="18">
        <v>2</v>
      </c>
      <c r="AB1029" s="18">
        <v>0</v>
      </c>
      <c r="AC1029" s="18">
        <v>0</v>
      </c>
      <c r="AN1029" s="3">
        <f t="shared" si="11"/>
        <v>3</v>
      </c>
      <c r="AO1029" s="3">
        <v>4</v>
      </c>
      <c r="AP1029" s="3">
        <v>1</v>
      </c>
      <c r="AR1029" s="2" t="s">
        <v>1289</v>
      </c>
    </row>
    <row r="1030" spans="1:44" ht="12.75" customHeight="1">
      <c r="A1030" s="4">
        <v>35206</v>
      </c>
      <c r="B1030" s="2" t="s">
        <v>239</v>
      </c>
      <c r="C1030" s="2" t="s">
        <v>183</v>
      </c>
      <c r="D1030" s="2" t="s">
        <v>258</v>
      </c>
      <c r="E1030" s="18">
        <v>0</v>
      </c>
      <c r="F1030" s="18">
        <v>2</v>
      </c>
      <c r="G1030" s="18">
        <v>0</v>
      </c>
      <c r="H1030" s="18">
        <v>2</v>
      </c>
      <c r="I1030" s="18">
        <v>2</v>
      </c>
      <c r="J1030" s="18">
        <v>0</v>
      </c>
      <c r="K1030" s="18">
        <v>0</v>
      </c>
      <c r="T1030" s="3">
        <f t="shared" si="10"/>
        <v>6</v>
      </c>
      <c r="U1030" s="3">
        <v>10</v>
      </c>
      <c r="V1030" s="3">
        <v>4</v>
      </c>
      <c r="X1030" s="2" t="s">
        <v>1271</v>
      </c>
      <c r="Y1030" s="18">
        <v>0</v>
      </c>
      <c r="Z1030" s="18">
        <v>0</v>
      </c>
      <c r="AA1030" s="18">
        <v>9</v>
      </c>
      <c r="AB1030" s="18">
        <v>0</v>
      </c>
      <c r="AC1030" s="18">
        <v>0</v>
      </c>
      <c r="AD1030" s="18">
        <v>0</v>
      </c>
      <c r="AE1030" s="18">
        <v>0</v>
      </c>
      <c r="AN1030" s="3">
        <f t="shared" si="11"/>
        <v>9</v>
      </c>
      <c r="AO1030" s="3">
        <v>8</v>
      </c>
      <c r="AP1030" s="3">
        <v>2</v>
      </c>
      <c r="AR1030" s="2" t="s">
        <v>1290</v>
      </c>
    </row>
    <row r="1031" ht="12.75" customHeight="1">
      <c r="A1031" s="9"/>
    </row>
    <row r="1032" spans="1:45" ht="12.75" customHeight="1">
      <c r="A1032" s="9">
        <f>DATE(97,3,27)</f>
        <v>35516</v>
      </c>
      <c r="C1032" s="2" t="s">
        <v>174</v>
      </c>
      <c r="E1032" s="18">
        <v>0</v>
      </c>
      <c r="F1032" s="18">
        <v>0</v>
      </c>
      <c r="G1032" s="18">
        <v>0</v>
      </c>
      <c r="H1032" s="18">
        <v>1</v>
      </c>
      <c r="I1032" s="18">
        <v>1</v>
      </c>
      <c r="J1032" s="18">
        <v>0</v>
      </c>
      <c r="T1032" s="3">
        <f t="shared" si="10"/>
        <v>2</v>
      </c>
      <c r="U1032" s="3">
        <v>3</v>
      </c>
      <c r="V1032" s="3">
        <v>1</v>
      </c>
      <c r="X1032" s="2" t="s">
        <v>427</v>
      </c>
      <c r="Y1032" s="18">
        <v>0</v>
      </c>
      <c r="Z1032" s="18">
        <v>1</v>
      </c>
      <c r="AA1032" s="18">
        <v>1</v>
      </c>
      <c r="AB1032" s="18">
        <v>2</v>
      </c>
      <c r="AC1032" s="18">
        <v>7</v>
      </c>
      <c r="AD1032" s="18">
        <v>1</v>
      </c>
      <c r="AN1032" s="3">
        <f t="shared" si="11"/>
        <v>12</v>
      </c>
      <c r="AO1032" s="3">
        <v>12</v>
      </c>
      <c r="AP1032" s="3">
        <v>1</v>
      </c>
      <c r="AR1032" s="2" t="s">
        <v>428</v>
      </c>
      <c r="AS1032" s="2" t="s">
        <v>1848</v>
      </c>
    </row>
    <row r="1033" spans="1:46" ht="12.75" customHeight="1">
      <c r="A1033" s="9">
        <f>DATE(1997,4,1)</f>
        <v>35521</v>
      </c>
      <c r="B1033" s="2" t="s">
        <v>152</v>
      </c>
      <c r="C1033" s="2" t="s">
        <v>236</v>
      </c>
      <c r="E1033" s="18">
        <v>1</v>
      </c>
      <c r="F1033" s="18">
        <v>0</v>
      </c>
      <c r="G1033" s="18">
        <v>0</v>
      </c>
      <c r="H1033" s="18">
        <v>1</v>
      </c>
      <c r="I1033" s="18">
        <v>0</v>
      </c>
      <c r="J1033" s="18">
        <v>0</v>
      </c>
      <c r="K1033" s="18">
        <v>0</v>
      </c>
      <c r="T1033" s="3">
        <f t="shared" si="10"/>
        <v>2</v>
      </c>
      <c r="U1033" s="3">
        <v>5</v>
      </c>
      <c r="V1033" s="3">
        <v>1</v>
      </c>
      <c r="X1033" s="2" t="s">
        <v>429</v>
      </c>
      <c r="Y1033" s="18">
        <v>3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  <c r="AE1033" s="18" t="s">
        <v>162</v>
      </c>
      <c r="AN1033" s="3">
        <f t="shared" si="11"/>
        <v>3</v>
      </c>
      <c r="AO1033" s="3">
        <v>4</v>
      </c>
      <c r="AP1033" s="3">
        <v>1</v>
      </c>
      <c r="AR1033" s="2" t="s">
        <v>430</v>
      </c>
      <c r="AS1033" s="2" t="s">
        <v>244</v>
      </c>
      <c r="AT1033" s="2">
        <v>11</v>
      </c>
    </row>
    <row r="1034" spans="1:44" ht="12.75" customHeight="1">
      <c r="A1034" s="9">
        <f>DATE(1997,4,3)</f>
        <v>35523</v>
      </c>
      <c r="B1034" s="2" t="s">
        <v>152</v>
      </c>
      <c r="C1034" s="2" t="s">
        <v>175</v>
      </c>
      <c r="E1034" s="18">
        <v>0</v>
      </c>
      <c r="F1034" s="18">
        <v>0</v>
      </c>
      <c r="G1034" s="18">
        <v>0</v>
      </c>
      <c r="H1034" s="18">
        <v>1</v>
      </c>
      <c r="I1034" s="18">
        <v>1</v>
      </c>
      <c r="J1034" s="18">
        <v>2</v>
      </c>
      <c r="K1034" s="18">
        <v>0</v>
      </c>
      <c r="T1034" s="3">
        <f t="shared" si="10"/>
        <v>4</v>
      </c>
      <c r="U1034" s="3">
        <v>8</v>
      </c>
      <c r="V1034" s="3">
        <v>7</v>
      </c>
      <c r="X1034" s="2" t="s">
        <v>431</v>
      </c>
      <c r="Y1034" s="18">
        <v>1</v>
      </c>
      <c r="Z1034" s="18">
        <v>0</v>
      </c>
      <c r="AA1034" s="18">
        <v>5</v>
      </c>
      <c r="AB1034" s="18">
        <v>0</v>
      </c>
      <c r="AC1034" s="18">
        <v>0</v>
      </c>
      <c r="AD1034" s="18">
        <v>3</v>
      </c>
      <c r="AE1034" s="18" t="s">
        <v>162</v>
      </c>
      <c r="AN1034" s="3">
        <f t="shared" si="11"/>
        <v>9</v>
      </c>
      <c r="AO1034" s="3">
        <v>9</v>
      </c>
      <c r="AP1034" s="3">
        <v>1</v>
      </c>
      <c r="AR1034" s="2" t="s">
        <v>433</v>
      </c>
    </row>
    <row r="1035" spans="1:44" ht="12.75" customHeight="1">
      <c r="A1035" s="9">
        <f>DATE(1997,4,7)</f>
        <v>35527</v>
      </c>
      <c r="C1035" s="2" t="s">
        <v>191</v>
      </c>
      <c r="E1035" s="18">
        <v>0</v>
      </c>
      <c r="F1035" s="18">
        <v>1</v>
      </c>
      <c r="G1035" s="18">
        <v>0</v>
      </c>
      <c r="H1035" s="18">
        <v>1</v>
      </c>
      <c r="I1035" s="18">
        <v>0</v>
      </c>
      <c r="J1035" s="18">
        <v>0</v>
      </c>
      <c r="K1035" s="18">
        <v>2</v>
      </c>
      <c r="T1035" s="3">
        <f t="shared" si="10"/>
        <v>4</v>
      </c>
      <c r="U1035" s="3">
        <v>8</v>
      </c>
      <c r="V1035" s="3">
        <v>3</v>
      </c>
      <c r="X1035" s="2" t="s">
        <v>432</v>
      </c>
      <c r="Y1035" s="18">
        <v>1</v>
      </c>
      <c r="Z1035" s="18">
        <v>0</v>
      </c>
      <c r="AA1035" s="18">
        <v>0</v>
      </c>
      <c r="AB1035" s="18">
        <v>0</v>
      </c>
      <c r="AC1035" s="18">
        <v>1</v>
      </c>
      <c r="AD1035" s="18">
        <v>3</v>
      </c>
      <c r="AE1035" s="18">
        <v>1</v>
      </c>
      <c r="AN1035" s="3">
        <f t="shared" si="11"/>
        <v>6</v>
      </c>
      <c r="AO1035" s="3">
        <v>9</v>
      </c>
      <c r="AP1035" s="3">
        <v>4</v>
      </c>
      <c r="AR1035" s="2" t="s">
        <v>1902</v>
      </c>
    </row>
    <row r="1036" spans="1:44" ht="12.75" customHeight="1">
      <c r="A1036" s="9">
        <f>DATE(1997,4,10)</f>
        <v>35530</v>
      </c>
      <c r="C1036" s="2" t="s">
        <v>305</v>
      </c>
      <c r="E1036" s="18">
        <v>3</v>
      </c>
      <c r="F1036" s="18">
        <v>1</v>
      </c>
      <c r="G1036" s="18">
        <v>0</v>
      </c>
      <c r="H1036" s="18">
        <v>0</v>
      </c>
      <c r="I1036" s="18">
        <v>3</v>
      </c>
      <c r="J1036" s="18">
        <v>3</v>
      </c>
      <c r="K1036" s="18" t="s">
        <v>162</v>
      </c>
      <c r="T1036" s="3">
        <f t="shared" si="10"/>
        <v>10</v>
      </c>
      <c r="U1036" s="3">
        <v>9</v>
      </c>
      <c r="V1036" s="3">
        <v>2</v>
      </c>
      <c r="X1036" s="2" t="s">
        <v>434</v>
      </c>
      <c r="Y1036" s="18">
        <v>0</v>
      </c>
      <c r="Z1036" s="18">
        <v>0</v>
      </c>
      <c r="AA1036" s="18">
        <v>0</v>
      </c>
      <c r="AB1036" s="18">
        <v>2</v>
      </c>
      <c r="AC1036" s="18">
        <v>0</v>
      </c>
      <c r="AD1036" s="18">
        <v>0</v>
      </c>
      <c r="AE1036" s="18">
        <v>0</v>
      </c>
      <c r="AN1036" s="3">
        <f t="shared" si="11"/>
        <v>2</v>
      </c>
      <c r="AO1036" s="3">
        <v>8</v>
      </c>
      <c r="AP1036" s="3">
        <v>5</v>
      </c>
      <c r="AR1036" s="2" t="s">
        <v>448</v>
      </c>
    </row>
    <row r="1037" spans="1:44" ht="12.75" customHeight="1">
      <c r="A1037" s="9">
        <f>DATE(1997,4,11)</f>
        <v>35531</v>
      </c>
      <c r="B1037" s="2" t="s">
        <v>152</v>
      </c>
      <c r="C1037" s="2" t="s">
        <v>137</v>
      </c>
      <c r="E1037" s="18">
        <v>0</v>
      </c>
      <c r="F1037" s="18">
        <v>0</v>
      </c>
      <c r="G1037" s="18">
        <v>2</v>
      </c>
      <c r="H1037" s="18">
        <v>0</v>
      </c>
      <c r="I1037" s="18">
        <v>0</v>
      </c>
      <c r="J1037" s="18">
        <v>0</v>
      </c>
      <c r="K1037" s="18">
        <v>1</v>
      </c>
      <c r="T1037" s="3">
        <f t="shared" si="10"/>
        <v>3</v>
      </c>
      <c r="U1037" s="3">
        <v>8</v>
      </c>
      <c r="V1037" s="3">
        <v>2</v>
      </c>
      <c r="X1037" s="2" t="s">
        <v>427</v>
      </c>
      <c r="Y1037" s="18">
        <v>0</v>
      </c>
      <c r="Z1037" s="18">
        <v>2</v>
      </c>
      <c r="AA1037" s="18">
        <v>0</v>
      </c>
      <c r="AB1037" s="18">
        <v>0</v>
      </c>
      <c r="AC1037" s="18">
        <v>4</v>
      </c>
      <c r="AD1037" s="18">
        <v>1</v>
      </c>
      <c r="AE1037" s="18" t="s">
        <v>162</v>
      </c>
      <c r="AN1037" s="3">
        <f t="shared" si="11"/>
        <v>7</v>
      </c>
      <c r="AO1037" s="3">
        <v>7</v>
      </c>
      <c r="AP1037" s="3">
        <v>3</v>
      </c>
      <c r="AR1037" s="2" t="s">
        <v>2383</v>
      </c>
    </row>
    <row r="1038" spans="1:44" ht="12.75" customHeight="1">
      <c r="A1038" s="9">
        <f>DATE(1997,4,15)</f>
        <v>35535</v>
      </c>
      <c r="B1038" s="2" t="s">
        <v>152</v>
      </c>
      <c r="C1038" s="2" t="s">
        <v>374</v>
      </c>
      <c r="E1038" s="18">
        <v>0</v>
      </c>
      <c r="F1038" s="18">
        <v>0</v>
      </c>
      <c r="G1038" s="18">
        <v>0</v>
      </c>
      <c r="H1038" s="18">
        <v>3</v>
      </c>
      <c r="I1038" s="18">
        <v>2</v>
      </c>
      <c r="J1038" s="18">
        <v>2</v>
      </c>
      <c r="K1038" s="18">
        <v>0</v>
      </c>
      <c r="L1038" s="18">
        <v>0</v>
      </c>
      <c r="T1038" s="3">
        <f t="shared" si="10"/>
        <v>7</v>
      </c>
      <c r="U1038" s="3">
        <v>13</v>
      </c>
      <c r="V1038" s="3">
        <v>7</v>
      </c>
      <c r="X1038" s="2" t="s">
        <v>435</v>
      </c>
      <c r="Y1038" s="18">
        <v>3</v>
      </c>
      <c r="Z1038" s="18">
        <v>0</v>
      </c>
      <c r="AA1038" s="18">
        <v>0</v>
      </c>
      <c r="AB1038" s="18">
        <v>1</v>
      </c>
      <c r="AC1038" s="18">
        <v>1</v>
      </c>
      <c r="AD1038" s="18">
        <v>2</v>
      </c>
      <c r="AE1038" s="18">
        <v>0</v>
      </c>
      <c r="AF1038" s="18">
        <v>1</v>
      </c>
      <c r="AN1038" s="3">
        <f t="shared" si="11"/>
        <v>8</v>
      </c>
      <c r="AO1038" s="3">
        <v>13</v>
      </c>
      <c r="AP1038" s="3">
        <v>5</v>
      </c>
      <c r="AR1038" s="2" t="s">
        <v>436</v>
      </c>
    </row>
    <row r="1039" spans="1:44" ht="12.75" customHeight="1">
      <c r="A1039" s="9">
        <f>DATE(1997,4,17)</f>
        <v>35537</v>
      </c>
      <c r="C1039" s="2" t="s">
        <v>379</v>
      </c>
      <c r="E1039" s="18">
        <v>0</v>
      </c>
      <c r="F1039" s="18">
        <v>5</v>
      </c>
      <c r="G1039" s="18">
        <v>0</v>
      </c>
      <c r="H1039" s="18">
        <v>0</v>
      </c>
      <c r="I1039" s="18">
        <v>0</v>
      </c>
      <c r="J1039" s="18">
        <v>3</v>
      </c>
      <c r="K1039" s="18" t="s">
        <v>162</v>
      </c>
      <c r="T1039" s="3">
        <f t="shared" si="10"/>
        <v>8</v>
      </c>
      <c r="U1039" s="3">
        <v>12</v>
      </c>
      <c r="V1039" s="3">
        <v>4</v>
      </c>
      <c r="X1039" s="2" t="s">
        <v>432</v>
      </c>
      <c r="Y1039" s="18">
        <v>1</v>
      </c>
      <c r="Z1039" s="18">
        <v>0</v>
      </c>
      <c r="AA1039" s="18">
        <v>1</v>
      </c>
      <c r="AB1039" s="18">
        <v>0</v>
      </c>
      <c r="AC1039" s="18">
        <v>1</v>
      </c>
      <c r="AD1039" s="18">
        <v>0</v>
      </c>
      <c r="AE1039" s="18">
        <v>0</v>
      </c>
      <c r="AN1039" s="3">
        <f t="shared" si="11"/>
        <v>3</v>
      </c>
      <c r="AO1039" s="3">
        <v>5</v>
      </c>
      <c r="AP1039" s="3">
        <v>1</v>
      </c>
      <c r="AR1039" s="2" t="s">
        <v>437</v>
      </c>
    </row>
    <row r="1040" spans="1:44" ht="12.75" customHeight="1">
      <c r="A1040" s="9">
        <f>DATE(1997,4,19)</f>
        <v>35539</v>
      </c>
      <c r="B1040" s="2" t="s">
        <v>152</v>
      </c>
      <c r="C1040" s="2" t="s">
        <v>192</v>
      </c>
      <c r="E1040" s="18">
        <v>0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1</v>
      </c>
      <c r="L1040" s="18">
        <v>1</v>
      </c>
      <c r="T1040" s="3">
        <f t="shared" si="10"/>
        <v>2</v>
      </c>
      <c r="U1040" s="3">
        <v>6</v>
      </c>
      <c r="V1040" s="3">
        <v>1</v>
      </c>
      <c r="X1040" s="2" t="s">
        <v>435</v>
      </c>
      <c r="Y1040" s="18"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  <c r="AE1040" s="18">
        <v>1</v>
      </c>
      <c r="AF1040" s="18">
        <v>2</v>
      </c>
      <c r="AN1040" s="3">
        <f t="shared" si="11"/>
        <v>3</v>
      </c>
      <c r="AO1040" s="3">
        <v>4</v>
      </c>
      <c r="AP1040" s="3">
        <v>2</v>
      </c>
      <c r="AR1040" s="2" t="s">
        <v>2405</v>
      </c>
    </row>
    <row r="1041" spans="1:44" ht="12.75" customHeight="1">
      <c r="A1041" s="9">
        <f>DATE(1997,4,21)</f>
        <v>35541</v>
      </c>
      <c r="B1041" s="2" t="s">
        <v>152</v>
      </c>
      <c r="C1041" s="2" t="s">
        <v>392</v>
      </c>
      <c r="E1041" s="18">
        <v>0</v>
      </c>
      <c r="F1041" s="18">
        <v>0</v>
      </c>
      <c r="G1041" s="18">
        <v>3</v>
      </c>
      <c r="H1041" s="18">
        <v>5</v>
      </c>
      <c r="I1041" s="18">
        <v>0</v>
      </c>
      <c r="J1041" s="18">
        <v>0</v>
      </c>
      <c r="K1041" s="18">
        <v>0</v>
      </c>
      <c r="T1041" s="3">
        <f t="shared" si="10"/>
        <v>8</v>
      </c>
      <c r="U1041" s="3">
        <v>8</v>
      </c>
      <c r="V1041" s="3">
        <v>3</v>
      </c>
      <c r="X1041" s="2" t="s">
        <v>432</v>
      </c>
      <c r="Y1041" s="18">
        <v>0</v>
      </c>
      <c r="Z1041" s="18">
        <v>2</v>
      </c>
      <c r="AA1041" s="18">
        <v>0</v>
      </c>
      <c r="AB1041" s="18">
        <v>0</v>
      </c>
      <c r="AC1041" s="18">
        <v>0</v>
      </c>
      <c r="AD1041" s="18">
        <v>3</v>
      </c>
      <c r="AE1041" s="18">
        <v>0</v>
      </c>
      <c r="AN1041" s="3">
        <f t="shared" si="11"/>
        <v>5</v>
      </c>
      <c r="AO1041" s="3">
        <v>9</v>
      </c>
      <c r="AP1041" s="3">
        <v>3</v>
      </c>
      <c r="AR1041" s="2" t="s">
        <v>439</v>
      </c>
    </row>
    <row r="1042" spans="1:44" ht="12.75" customHeight="1">
      <c r="A1042" s="9">
        <f>DATE(1997,4,24)</f>
        <v>35544</v>
      </c>
      <c r="B1042" s="2" t="s">
        <v>152</v>
      </c>
      <c r="C1042" s="2" t="s">
        <v>191</v>
      </c>
      <c r="E1042" s="18">
        <v>0</v>
      </c>
      <c r="F1042" s="18">
        <v>0</v>
      </c>
      <c r="G1042" s="18">
        <v>2</v>
      </c>
      <c r="H1042" s="18">
        <v>0</v>
      </c>
      <c r="I1042" s="18">
        <v>0</v>
      </c>
      <c r="J1042" s="18">
        <v>0</v>
      </c>
      <c r="K1042" s="18">
        <v>0</v>
      </c>
      <c r="T1042" s="3">
        <f t="shared" si="10"/>
        <v>2</v>
      </c>
      <c r="U1042" s="3">
        <v>2</v>
      </c>
      <c r="V1042" s="3">
        <v>1</v>
      </c>
      <c r="X1042" s="2" t="s">
        <v>431</v>
      </c>
      <c r="Y1042" s="18">
        <v>1</v>
      </c>
      <c r="Z1042" s="18">
        <v>2</v>
      </c>
      <c r="AA1042" s="18">
        <v>0</v>
      </c>
      <c r="AB1042" s="18">
        <v>6</v>
      </c>
      <c r="AC1042" s="18">
        <v>0</v>
      </c>
      <c r="AD1042" s="18">
        <v>1</v>
      </c>
      <c r="AE1042" s="18" t="s">
        <v>162</v>
      </c>
      <c r="AN1042" s="3">
        <f t="shared" si="11"/>
        <v>10</v>
      </c>
      <c r="AO1042" s="3">
        <v>11</v>
      </c>
      <c r="AP1042" s="3">
        <v>1</v>
      </c>
      <c r="AR1042" s="2" t="s">
        <v>444</v>
      </c>
    </row>
    <row r="1043" spans="1:44" ht="12.75" customHeight="1">
      <c r="A1043" s="9">
        <f>DATE(1997,4,25)</f>
        <v>35545</v>
      </c>
      <c r="C1043" s="2" t="s">
        <v>175</v>
      </c>
      <c r="E1043" s="18">
        <v>0</v>
      </c>
      <c r="F1043" s="18">
        <v>0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T1043" s="3">
        <f t="shared" si="10"/>
        <v>0</v>
      </c>
      <c r="U1043" s="3">
        <v>2</v>
      </c>
      <c r="V1043" s="3">
        <v>2</v>
      </c>
      <c r="X1043" s="2" t="s">
        <v>446</v>
      </c>
      <c r="Y1043" s="18">
        <v>1</v>
      </c>
      <c r="Z1043" s="18">
        <v>0</v>
      </c>
      <c r="AA1043" s="18">
        <v>0</v>
      </c>
      <c r="AB1043" s="18">
        <v>0</v>
      </c>
      <c r="AC1043" s="18">
        <v>0</v>
      </c>
      <c r="AD1043" s="18">
        <v>2</v>
      </c>
      <c r="AE1043" s="18">
        <v>1</v>
      </c>
      <c r="AN1043" s="3">
        <f t="shared" si="11"/>
        <v>4</v>
      </c>
      <c r="AO1043" s="3">
        <v>5</v>
      </c>
      <c r="AP1043" s="3">
        <v>1</v>
      </c>
      <c r="AR1043" s="2" t="s">
        <v>445</v>
      </c>
    </row>
    <row r="1044" spans="1:44" ht="12.75" customHeight="1">
      <c r="A1044" s="9">
        <f>DATE(1997,4,26)</f>
        <v>35546</v>
      </c>
      <c r="C1044" s="2" t="s">
        <v>367</v>
      </c>
      <c r="E1044" s="18">
        <v>0</v>
      </c>
      <c r="F1044" s="18">
        <v>0</v>
      </c>
      <c r="G1044" s="18">
        <v>0</v>
      </c>
      <c r="H1044" s="18">
        <v>1</v>
      </c>
      <c r="I1044" s="18">
        <v>0</v>
      </c>
      <c r="J1044" s="18">
        <v>0</v>
      </c>
      <c r="K1044" s="18">
        <v>3</v>
      </c>
      <c r="T1044" s="3">
        <f t="shared" si="10"/>
        <v>4</v>
      </c>
      <c r="U1044" s="3">
        <v>6</v>
      </c>
      <c r="V1044" s="3">
        <v>4</v>
      </c>
      <c r="X1044" s="2" t="s">
        <v>432</v>
      </c>
      <c r="Y1044" s="18">
        <v>0</v>
      </c>
      <c r="Z1044" s="18">
        <v>1</v>
      </c>
      <c r="AA1044" s="18">
        <v>0</v>
      </c>
      <c r="AB1044" s="18">
        <v>0</v>
      </c>
      <c r="AC1044" s="18">
        <v>0</v>
      </c>
      <c r="AD1044" s="18">
        <v>2</v>
      </c>
      <c r="AE1044" s="18">
        <v>0</v>
      </c>
      <c r="AN1044" s="3">
        <f t="shared" si="11"/>
        <v>3</v>
      </c>
      <c r="AO1044" s="3">
        <v>2</v>
      </c>
      <c r="AP1044" s="3">
        <v>2</v>
      </c>
      <c r="AR1044" s="2" t="s">
        <v>447</v>
      </c>
    </row>
    <row r="1045" spans="1:44" ht="12.75" customHeight="1">
      <c r="A1045" s="9">
        <f>DATE(1997,4,29)</f>
        <v>35549</v>
      </c>
      <c r="B1045" s="2" t="s">
        <v>152</v>
      </c>
      <c r="C1045" s="2" t="s">
        <v>305</v>
      </c>
      <c r="E1045" s="18">
        <v>5</v>
      </c>
      <c r="F1045" s="18">
        <v>2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T1045" s="3">
        <f t="shared" si="10"/>
        <v>7</v>
      </c>
      <c r="U1045" s="3">
        <v>13</v>
      </c>
      <c r="V1045" s="3">
        <v>1</v>
      </c>
      <c r="X1045" s="2" t="s">
        <v>434</v>
      </c>
      <c r="Y1045" s="18">
        <v>1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N1045" s="3">
        <f t="shared" si="11"/>
        <v>1</v>
      </c>
      <c r="AO1045" s="3">
        <v>7</v>
      </c>
      <c r="AP1045" s="3">
        <v>3</v>
      </c>
      <c r="AR1045" s="2" t="s">
        <v>449</v>
      </c>
    </row>
    <row r="1046" spans="1:44" ht="12.75" customHeight="1">
      <c r="A1046" s="9">
        <f>DATE(1997,5,1)</f>
        <v>35551</v>
      </c>
      <c r="C1046" s="2" t="s">
        <v>374</v>
      </c>
      <c r="E1046" s="18">
        <v>0</v>
      </c>
      <c r="F1046" s="18">
        <v>1</v>
      </c>
      <c r="G1046" s="18">
        <v>2</v>
      </c>
      <c r="H1046" s="18">
        <v>0</v>
      </c>
      <c r="I1046" s="18">
        <v>2</v>
      </c>
      <c r="J1046" s="18">
        <v>2</v>
      </c>
      <c r="K1046" s="18" t="s">
        <v>162</v>
      </c>
      <c r="T1046" s="3">
        <f t="shared" si="10"/>
        <v>7</v>
      </c>
      <c r="U1046" s="3">
        <v>10</v>
      </c>
      <c r="V1046" s="3">
        <v>4</v>
      </c>
      <c r="X1046" s="2" t="s">
        <v>450</v>
      </c>
      <c r="Y1046" s="18">
        <v>2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1</v>
      </c>
      <c r="AN1046" s="3">
        <f t="shared" si="11"/>
        <v>3</v>
      </c>
      <c r="AO1046" s="3">
        <v>2</v>
      </c>
      <c r="AP1046" s="3">
        <v>1</v>
      </c>
      <c r="AR1046" s="2" t="s">
        <v>451</v>
      </c>
    </row>
    <row r="1047" spans="1:44" ht="12.75" customHeight="1">
      <c r="A1047" s="9">
        <f>DATE(1997,5,2)</f>
        <v>35552</v>
      </c>
      <c r="B1047" s="2" t="s">
        <v>152</v>
      </c>
      <c r="C1047" s="2" t="s">
        <v>183</v>
      </c>
      <c r="E1047" s="18">
        <v>1</v>
      </c>
      <c r="F1047" s="18">
        <v>0</v>
      </c>
      <c r="G1047" s="18">
        <v>2</v>
      </c>
      <c r="H1047" s="18">
        <v>0</v>
      </c>
      <c r="I1047" s="18">
        <v>3</v>
      </c>
      <c r="J1047" s="18">
        <v>1</v>
      </c>
      <c r="K1047" s="18">
        <v>0</v>
      </c>
      <c r="T1047" s="3">
        <f t="shared" si="10"/>
        <v>7</v>
      </c>
      <c r="U1047" s="3">
        <v>13</v>
      </c>
      <c r="V1047" s="3">
        <v>5</v>
      </c>
      <c r="X1047" s="2" t="s">
        <v>432</v>
      </c>
      <c r="Y1047" s="18">
        <v>0</v>
      </c>
      <c r="Z1047" s="18">
        <v>0</v>
      </c>
      <c r="AA1047" s="18">
        <v>1</v>
      </c>
      <c r="AB1047" s="18">
        <v>0</v>
      </c>
      <c r="AC1047" s="18">
        <v>2</v>
      </c>
      <c r="AD1047" s="18">
        <v>3</v>
      </c>
      <c r="AE1047" s="18">
        <v>0</v>
      </c>
      <c r="AN1047" s="3">
        <f t="shared" si="11"/>
        <v>6</v>
      </c>
      <c r="AO1047" s="3">
        <v>7</v>
      </c>
      <c r="AP1047" s="3">
        <v>4</v>
      </c>
      <c r="AR1047" s="2" t="s">
        <v>452</v>
      </c>
    </row>
    <row r="1048" spans="1:44" ht="12.75" customHeight="1">
      <c r="A1048" s="9">
        <f>DATE(1997,5,6)</f>
        <v>35556</v>
      </c>
      <c r="C1048" s="2" t="s">
        <v>137</v>
      </c>
      <c r="E1048" s="18">
        <v>2</v>
      </c>
      <c r="F1048" s="18">
        <v>0</v>
      </c>
      <c r="G1048" s="18">
        <v>9</v>
      </c>
      <c r="H1048" s="18">
        <v>0</v>
      </c>
      <c r="I1048" s="18">
        <v>0</v>
      </c>
      <c r="J1048" s="18">
        <v>0</v>
      </c>
      <c r="K1048" s="18" t="s">
        <v>162</v>
      </c>
      <c r="T1048" s="3">
        <f t="shared" si="10"/>
        <v>11</v>
      </c>
      <c r="U1048" s="3">
        <v>10</v>
      </c>
      <c r="V1048" s="3">
        <v>3</v>
      </c>
      <c r="X1048" s="2" t="s">
        <v>454</v>
      </c>
      <c r="Y1048" s="18">
        <v>1</v>
      </c>
      <c r="Z1048" s="18">
        <v>5</v>
      </c>
      <c r="AA1048" s="18">
        <v>0</v>
      </c>
      <c r="AB1048" s="18">
        <v>2</v>
      </c>
      <c r="AC1048" s="18">
        <v>0</v>
      </c>
      <c r="AD1048" s="18">
        <v>0</v>
      </c>
      <c r="AE1048" s="18">
        <v>0</v>
      </c>
      <c r="AN1048" s="3">
        <f t="shared" si="11"/>
        <v>8</v>
      </c>
      <c r="AO1048" s="3">
        <v>8</v>
      </c>
      <c r="AP1048" s="3">
        <v>3</v>
      </c>
      <c r="AR1048" s="2" t="s">
        <v>2402</v>
      </c>
    </row>
    <row r="1049" spans="1:44" ht="12.75" customHeight="1">
      <c r="A1049" s="4">
        <f>DATE(1997,5,8)</f>
        <v>35558</v>
      </c>
      <c r="B1049" s="2" t="s">
        <v>152</v>
      </c>
      <c r="C1049" s="2" t="s">
        <v>174</v>
      </c>
      <c r="E1049" s="18">
        <v>0</v>
      </c>
      <c r="F1049" s="18">
        <v>0</v>
      </c>
      <c r="G1049" s="18">
        <v>5</v>
      </c>
      <c r="H1049" s="18">
        <v>2</v>
      </c>
      <c r="I1049" s="18">
        <v>1</v>
      </c>
      <c r="J1049" s="18">
        <v>0</v>
      </c>
      <c r="K1049" s="18">
        <v>1</v>
      </c>
      <c r="L1049" s="18">
        <v>0</v>
      </c>
      <c r="T1049" s="3">
        <f t="shared" si="10"/>
        <v>9</v>
      </c>
      <c r="U1049" s="3">
        <v>11</v>
      </c>
      <c r="V1049" s="3">
        <v>3</v>
      </c>
      <c r="X1049" s="2" t="s">
        <v>455</v>
      </c>
      <c r="Y1049" s="18">
        <v>2</v>
      </c>
      <c r="Z1049" s="18">
        <v>1</v>
      </c>
      <c r="AA1049" s="18">
        <v>0</v>
      </c>
      <c r="AB1049" s="18">
        <v>5</v>
      </c>
      <c r="AC1049" s="18">
        <v>1</v>
      </c>
      <c r="AD1049" s="18">
        <v>0</v>
      </c>
      <c r="AE1049" s="18">
        <v>0</v>
      </c>
      <c r="AF1049" s="18">
        <v>1</v>
      </c>
      <c r="AN1049" s="3">
        <f t="shared" si="11"/>
        <v>10</v>
      </c>
      <c r="AO1049" s="3">
        <v>11</v>
      </c>
      <c r="AP1049" s="3">
        <v>0</v>
      </c>
      <c r="AR1049" s="2" t="s">
        <v>2403</v>
      </c>
    </row>
    <row r="1050" spans="1:44" ht="12.75" customHeight="1">
      <c r="A1050" s="4">
        <f>DATE(1997,5,13)</f>
        <v>35563</v>
      </c>
      <c r="C1050" s="2" t="s">
        <v>236</v>
      </c>
      <c r="E1050" s="18">
        <v>0</v>
      </c>
      <c r="F1050" s="18">
        <v>0</v>
      </c>
      <c r="G1050" s="18">
        <v>2</v>
      </c>
      <c r="H1050" s="18">
        <v>0</v>
      </c>
      <c r="I1050" s="18">
        <v>0</v>
      </c>
      <c r="J1050" s="18">
        <v>2</v>
      </c>
      <c r="K1050" s="18" t="s">
        <v>162</v>
      </c>
      <c r="T1050" s="3">
        <f t="shared" si="10"/>
        <v>4</v>
      </c>
      <c r="U1050" s="3">
        <v>9</v>
      </c>
      <c r="V1050" s="3">
        <v>1</v>
      </c>
      <c r="X1050" s="2" t="s">
        <v>434</v>
      </c>
      <c r="Y1050" s="18">
        <v>0</v>
      </c>
      <c r="Z1050" s="18">
        <v>0</v>
      </c>
      <c r="AA1050" s="18">
        <v>0</v>
      </c>
      <c r="AB1050" s="18">
        <v>1</v>
      </c>
      <c r="AC1050" s="18">
        <v>0</v>
      </c>
      <c r="AD1050" s="18">
        <v>2</v>
      </c>
      <c r="AE1050" s="18">
        <v>0</v>
      </c>
      <c r="AN1050" s="3">
        <f t="shared" si="11"/>
        <v>3</v>
      </c>
      <c r="AO1050" s="3">
        <v>8</v>
      </c>
      <c r="AP1050" s="3">
        <v>2</v>
      </c>
      <c r="AR1050" s="2" t="s">
        <v>456</v>
      </c>
    </row>
    <row r="1051" spans="1:44" ht="12.75" customHeight="1">
      <c r="A1051" s="4">
        <f>DATE(1997,5,20)</f>
        <v>35570</v>
      </c>
      <c r="C1051" s="2" t="s">
        <v>183</v>
      </c>
      <c r="D1051" s="2" t="s">
        <v>258</v>
      </c>
      <c r="E1051" s="18">
        <v>2</v>
      </c>
      <c r="F1051" s="18">
        <v>2</v>
      </c>
      <c r="G1051" s="18">
        <v>0</v>
      </c>
      <c r="H1051" s="18">
        <v>4</v>
      </c>
      <c r="I1051" s="18">
        <v>0</v>
      </c>
      <c r="J1051" s="18">
        <v>0</v>
      </c>
      <c r="K1051" s="18" t="s">
        <v>162</v>
      </c>
      <c r="T1051" s="3">
        <f t="shared" si="10"/>
        <v>8</v>
      </c>
      <c r="U1051" s="3">
        <v>14</v>
      </c>
      <c r="V1051" s="3">
        <v>0</v>
      </c>
      <c r="X1051" s="2" t="s">
        <v>434</v>
      </c>
      <c r="Y1051" s="18">
        <v>0</v>
      </c>
      <c r="Z1051" s="18">
        <v>0</v>
      </c>
      <c r="AA1051" s="18">
        <v>0</v>
      </c>
      <c r="AB1051" s="18">
        <v>1</v>
      </c>
      <c r="AC1051" s="18">
        <v>1</v>
      </c>
      <c r="AD1051" s="18">
        <v>0</v>
      </c>
      <c r="AE1051" s="18">
        <v>0</v>
      </c>
      <c r="AN1051" s="3">
        <f t="shared" si="11"/>
        <v>2</v>
      </c>
      <c r="AO1051" s="3">
        <v>5</v>
      </c>
      <c r="AP1051" s="3">
        <v>1</v>
      </c>
      <c r="AR1051" s="2" t="s">
        <v>457</v>
      </c>
    </row>
    <row r="1052" spans="1:44" ht="12.75" customHeight="1">
      <c r="A1052" s="4">
        <f>DATE(1997,5,22)</f>
        <v>35572</v>
      </c>
      <c r="B1052" s="2" t="s">
        <v>239</v>
      </c>
      <c r="C1052" s="2" t="s">
        <v>367</v>
      </c>
      <c r="D1052" s="2" t="s">
        <v>258</v>
      </c>
      <c r="E1052" s="18">
        <v>1</v>
      </c>
      <c r="F1052" s="18">
        <v>1</v>
      </c>
      <c r="G1052" s="18">
        <v>0</v>
      </c>
      <c r="H1052" s="18">
        <v>0</v>
      </c>
      <c r="I1052" s="18">
        <v>0</v>
      </c>
      <c r="J1052" s="18">
        <v>0</v>
      </c>
      <c r="K1052" s="18">
        <v>0</v>
      </c>
      <c r="T1052" s="3">
        <f t="shared" si="10"/>
        <v>2</v>
      </c>
      <c r="U1052" s="3">
        <v>8</v>
      </c>
      <c r="V1052" s="3">
        <v>1</v>
      </c>
      <c r="X1052" s="2" t="s">
        <v>459</v>
      </c>
      <c r="Y1052" s="18"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>
        <v>3</v>
      </c>
      <c r="AN1052" s="3">
        <f t="shared" si="11"/>
        <v>3</v>
      </c>
      <c r="AO1052" s="3">
        <v>8</v>
      </c>
      <c r="AP1052" s="3">
        <v>2</v>
      </c>
      <c r="AR1052" s="2" t="s">
        <v>458</v>
      </c>
    </row>
    <row r="1053" ht="12.75" customHeight="1">
      <c r="A1053" s="4"/>
    </row>
    <row r="1054" spans="1:45" ht="12.75" customHeight="1">
      <c r="A1054" s="4">
        <v>35885</v>
      </c>
      <c r="B1054" s="2" t="s">
        <v>152</v>
      </c>
      <c r="C1054" s="2" t="s">
        <v>374</v>
      </c>
      <c r="E1054" s="18">
        <v>0</v>
      </c>
      <c r="F1054" s="18">
        <v>1</v>
      </c>
      <c r="G1054" s="18">
        <v>0</v>
      </c>
      <c r="H1054" s="18">
        <v>0</v>
      </c>
      <c r="I1054" s="18">
        <v>2</v>
      </c>
      <c r="J1054" s="18">
        <v>1</v>
      </c>
      <c r="K1054" s="18">
        <v>2</v>
      </c>
      <c r="T1054" s="3">
        <f t="shared" si="10"/>
        <v>6</v>
      </c>
      <c r="U1054" s="3">
        <v>8</v>
      </c>
      <c r="V1054" s="3">
        <v>5</v>
      </c>
      <c r="X1054" s="2" t="s">
        <v>1992</v>
      </c>
      <c r="Y1054" s="18">
        <v>3</v>
      </c>
      <c r="Z1054" s="18">
        <v>2</v>
      </c>
      <c r="AA1054" s="18">
        <v>5</v>
      </c>
      <c r="AB1054" s="18">
        <v>0</v>
      </c>
      <c r="AC1054" s="18">
        <v>0</v>
      </c>
      <c r="AD1054" s="18">
        <v>2</v>
      </c>
      <c r="AN1054" s="3">
        <f t="shared" si="11"/>
        <v>12</v>
      </c>
      <c r="AO1054" s="3">
        <v>10</v>
      </c>
      <c r="AP1054" s="3">
        <v>5</v>
      </c>
      <c r="AR1054" s="2" t="s">
        <v>1998</v>
      </c>
      <c r="AS1054" s="2" t="s">
        <v>1848</v>
      </c>
    </row>
    <row r="1055" spans="1:46" ht="12.75" customHeight="1">
      <c r="A1055" s="4">
        <v>35887</v>
      </c>
      <c r="C1055" s="2" t="s">
        <v>174</v>
      </c>
      <c r="E1055" s="18">
        <v>4</v>
      </c>
      <c r="F1055" s="18">
        <v>0</v>
      </c>
      <c r="G1055" s="18">
        <v>1</v>
      </c>
      <c r="H1055" s="18">
        <v>2</v>
      </c>
      <c r="I1055" s="18">
        <v>2</v>
      </c>
      <c r="J1055" s="18">
        <v>1</v>
      </c>
      <c r="K1055" s="18" t="s">
        <v>162</v>
      </c>
      <c r="T1055" s="3">
        <f t="shared" si="10"/>
        <v>10</v>
      </c>
      <c r="U1055" s="3">
        <v>12</v>
      </c>
      <c r="V1055" s="3">
        <v>2</v>
      </c>
      <c r="X1055" s="2" t="s">
        <v>500</v>
      </c>
      <c r="Y1055" s="18">
        <v>0</v>
      </c>
      <c r="Z1055" s="18">
        <v>0</v>
      </c>
      <c r="AA1055" s="18">
        <v>2</v>
      </c>
      <c r="AB1055" s="18">
        <v>1</v>
      </c>
      <c r="AC1055" s="18">
        <v>0</v>
      </c>
      <c r="AD1055" s="18">
        <v>0</v>
      </c>
      <c r="AE1055" s="18">
        <v>3</v>
      </c>
      <c r="AN1055" s="3">
        <f t="shared" si="11"/>
        <v>6</v>
      </c>
      <c r="AO1055" s="3">
        <v>8</v>
      </c>
      <c r="AP1055" s="3">
        <v>2</v>
      </c>
      <c r="AR1055" s="2" t="s">
        <v>1999</v>
      </c>
      <c r="AS1055" s="2" t="s">
        <v>2324</v>
      </c>
      <c r="AT1055" s="2">
        <v>12</v>
      </c>
    </row>
    <row r="1056" spans="1:44" ht="12.75" customHeight="1">
      <c r="A1056" s="4">
        <v>35889</v>
      </c>
      <c r="B1056" s="2" t="s">
        <v>152</v>
      </c>
      <c r="C1056" s="2" t="s">
        <v>367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T1056" s="3">
        <f t="shared" si="10"/>
        <v>0</v>
      </c>
      <c r="U1056" s="3">
        <v>0</v>
      </c>
      <c r="V1056" s="3">
        <v>2</v>
      </c>
      <c r="X1056" s="2" t="s">
        <v>503</v>
      </c>
      <c r="Y1056" s="18">
        <v>1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  <c r="AE1056" s="18" t="s">
        <v>162</v>
      </c>
      <c r="AN1056" s="3">
        <f t="shared" si="11"/>
        <v>1</v>
      </c>
      <c r="AO1056" s="3">
        <v>3</v>
      </c>
      <c r="AP1056" s="3">
        <v>1</v>
      </c>
      <c r="AR1056" s="2" t="s">
        <v>501</v>
      </c>
    </row>
    <row r="1057" spans="1:44" ht="12.75" customHeight="1">
      <c r="A1057" s="4">
        <v>35892</v>
      </c>
      <c r="C1057" s="2" t="s">
        <v>392</v>
      </c>
      <c r="E1057" s="18">
        <v>1</v>
      </c>
      <c r="F1057" s="18">
        <v>0</v>
      </c>
      <c r="G1057" s="18">
        <v>2</v>
      </c>
      <c r="H1057" s="18">
        <v>0</v>
      </c>
      <c r="I1057" s="18">
        <v>1</v>
      </c>
      <c r="J1057" s="18">
        <v>0</v>
      </c>
      <c r="K1057" s="18" t="s">
        <v>162</v>
      </c>
      <c r="T1057" s="3">
        <f t="shared" si="10"/>
        <v>4</v>
      </c>
      <c r="U1057" s="3">
        <v>8</v>
      </c>
      <c r="V1057" s="3">
        <v>4</v>
      </c>
      <c r="X1057" s="2" t="s">
        <v>502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1</v>
      </c>
      <c r="AN1057" s="3">
        <f t="shared" si="11"/>
        <v>1</v>
      </c>
      <c r="AO1057" s="3">
        <v>5</v>
      </c>
      <c r="AP1057" s="3">
        <v>1</v>
      </c>
      <c r="AR1057" s="2" t="s">
        <v>2000</v>
      </c>
    </row>
    <row r="1058" spans="1:44" ht="12.75" customHeight="1">
      <c r="A1058" s="4">
        <v>35898</v>
      </c>
      <c r="B1058" s="2" t="s">
        <v>152</v>
      </c>
      <c r="C1058" s="2" t="s">
        <v>236</v>
      </c>
      <c r="E1058" s="18">
        <v>2</v>
      </c>
      <c r="F1058" s="18">
        <v>0</v>
      </c>
      <c r="G1058" s="18">
        <v>0</v>
      </c>
      <c r="H1058" s="18">
        <v>2</v>
      </c>
      <c r="I1058" s="18">
        <v>4</v>
      </c>
      <c r="J1058" s="18">
        <v>1</v>
      </c>
      <c r="K1058" s="18">
        <v>0</v>
      </c>
      <c r="T1058" s="3">
        <f t="shared" si="10"/>
        <v>9</v>
      </c>
      <c r="U1058" s="3">
        <v>12</v>
      </c>
      <c r="V1058" s="3">
        <v>1</v>
      </c>
      <c r="X1058" s="2" t="s">
        <v>504</v>
      </c>
      <c r="Y1058" s="18">
        <v>1</v>
      </c>
      <c r="Z1058" s="18">
        <v>3</v>
      </c>
      <c r="AA1058" s="18">
        <v>4</v>
      </c>
      <c r="AB1058" s="18">
        <v>1</v>
      </c>
      <c r="AC1058" s="18">
        <v>3</v>
      </c>
      <c r="AD1058" s="18">
        <v>1</v>
      </c>
      <c r="AE1058" s="18" t="s">
        <v>162</v>
      </c>
      <c r="AN1058" s="3">
        <f t="shared" si="11"/>
        <v>13</v>
      </c>
      <c r="AO1058" s="3">
        <v>15</v>
      </c>
      <c r="AP1058" s="3">
        <v>5</v>
      </c>
      <c r="AR1058" s="2" t="s">
        <v>505</v>
      </c>
    </row>
    <row r="1059" spans="1:44" ht="12.75" customHeight="1">
      <c r="A1059" s="4">
        <v>35899</v>
      </c>
      <c r="B1059" s="2" t="s">
        <v>152</v>
      </c>
      <c r="C1059" s="2" t="s">
        <v>379</v>
      </c>
      <c r="E1059" s="18">
        <v>0</v>
      </c>
      <c r="F1059" s="18">
        <v>0</v>
      </c>
      <c r="G1059" s="18">
        <v>1</v>
      </c>
      <c r="H1059" s="18">
        <v>0</v>
      </c>
      <c r="I1059" s="18">
        <v>6</v>
      </c>
      <c r="J1059" s="18">
        <v>4</v>
      </c>
      <c r="K1059" s="18">
        <v>3</v>
      </c>
      <c r="T1059" s="3">
        <f t="shared" si="10"/>
        <v>14</v>
      </c>
      <c r="U1059" s="3">
        <v>13</v>
      </c>
      <c r="V1059" s="3">
        <v>4</v>
      </c>
      <c r="X1059" s="2" t="s">
        <v>1993</v>
      </c>
      <c r="Y1059" s="18">
        <v>0</v>
      </c>
      <c r="Z1059" s="18">
        <v>0</v>
      </c>
      <c r="AA1059" s="18">
        <v>0</v>
      </c>
      <c r="AB1059" s="18">
        <v>7</v>
      </c>
      <c r="AC1059" s="18">
        <v>0</v>
      </c>
      <c r="AD1059" s="18">
        <v>2</v>
      </c>
      <c r="AE1059" s="18">
        <v>0</v>
      </c>
      <c r="AN1059" s="3">
        <f t="shared" si="11"/>
        <v>9</v>
      </c>
      <c r="AO1059" s="3">
        <v>8</v>
      </c>
      <c r="AP1059" s="3">
        <v>5</v>
      </c>
      <c r="AR1059" s="2" t="s">
        <v>2001</v>
      </c>
    </row>
    <row r="1060" spans="1:44" ht="12.75" customHeight="1">
      <c r="A1060" s="4">
        <v>35903</v>
      </c>
      <c r="C1060" s="2" t="s">
        <v>192</v>
      </c>
      <c r="E1060" s="18">
        <v>0</v>
      </c>
      <c r="F1060" s="18">
        <v>0</v>
      </c>
      <c r="G1060" s="18">
        <v>0</v>
      </c>
      <c r="H1060" s="18">
        <v>1</v>
      </c>
      <c r="I1060" s="18">
        <v>0</v>
      </c>
      <c r="J1060" s="18">
        <v>2</v>
      </c>
      <c r="K1060" s="18">
        <v>1</v>
      </c>
      <c r="T1060" s="3">
        <f t="shared" si="10"/>
        <v>4</v>
      </c>
      <c r="U1060" s="3">
        <v>9</v>
      </c>
      <c r="V1060" s="3">
        <v>1</v>
      </c>
      <c r="X1060" s="2" t="s">
        <v>605</v>
      </c>
      <c r="Y1060" s="18">
        <v>0</v>
      </c>
      <c r="Z1060" s="18">
        <v>0</v>
      </c>
      <c r="AA1060" s="18">
        <v>0</v>
      </c>
      <c r="AB1060" s="18">
        <v>1</v>
      </c>
      <c r="AC1060" s="18">
        <v>6</v>
      </c>
      <c r="AD1060" s="18">
        <v>0</v>
      </c>
      <c r="AE1060" s="18">
        <v>0</v>
      </c>
      <c r="AN1060" s="3">
        <f t="shared" si="11"/>
        <v>7</v>
      </c>
      <c r="AO1060" s="3">
        <v>10</v>
      </c>
      <c r="AP1060" s="3">
        <v>4</v>
      </c>
      <c r="AR1060" s="2" t="s">
        <v>2002</v>
      </c>
    </row>
    <row r="1061" spans="1:44" ht="12.75" customHeight="1">
      <c r="A1061" s="4">
        <v>35906</v>
      </c>
      <c r="C1061" s="2" t="s">
        <v>191</v>
      </c>
      <c r="E1061" s="18">
        <v>0</v>
      </c>
      <c r="F1061" s="18">
        <v>0</v>
      </c>
      <c r="G1061" s="18">
        <v>1</v>
      </c>
      <c r="H1061" s="18">
        <v>1</v>
      </c>
      <c r="I1061" s="18">
        <v>0</v>
      </c>
      <c r="J1061" s="18">
        <v>0</v>
      </c>
      <c r="K1061" s="18">
        <v>0</v>
      </c>
      <c r="T1061" s="3">
        <f t="shared" si="10"/>
        <v>2</v>
      </c>
      <c r="U1061" s="3">
        <v>10</v>
      </c>
      <c r="V1061" s="3">
        <v>4</v>
      </c>
      <c r="X1061" s="2" t="s">
        <v>502</v>
      </c>
      <c r="Y1061" s="18">
        <v>2</v>
      </c>
      <c r="Z1061" s="18">
        <v>0</v>
      </c>
      <c r="AA1061" s="18">
        <v>0</v>
      </c>
      <c r="AB1061" s="18">
        <v>0</v>
      </c>
      <c r="AC1061" s="18">
        <v>1</v>
      </c>
      <c r="AD1061" s="18">
        <v>0</v>
      </c>
      <c r="AE1061" s="18">
        <v>1</v>
      </c>
      <c r="AN1061" s="3">
        <f t="shared" si="11"/>
        <v>4</v>
      </c>
      <c r="AO1061" s="3">
        <v>9</v>
      </c>
      <c r="AP1061" s="3">
        <v>2</v>
      </c>
      <c r="AR1061" s="2" t="s">
        <v>2003</v>
      </c>
    </row>
    <row r="1062" spans="1:44" ht="12.75" customHeight="1">
      <c r="A1062" s="4">
        <v>35907</v>
      </c>
      <c r="C1062" s="2" t="s">
        <v>175</v>
      </c>
      <c r="E1062" s="18">
        <v>0</v>
      </c>
      <c r="F1062" s="18">
        <v>0</v>
      </c>
      <c r="G1062" s="18">
        <v>0</v>
      </c>
      <c r="H1062" s="18">
        <v>9</v>
      </c>
      <c r="I1062" s="18">
        <v>5</v>
      </c>
      <c r="J1062" s="18">
        <v>0</v>
      </c>
      <c r="K1062" s="18" t="s">
        <v>162</v>
      </c>
      <c r="T1062" s="3">
        <f t="shared" si="10"/>
        <v>14</v>
      </c>
      <c r="U1062" s="3">
        <v>17</v>
      </c>
      <c r="V1062" s="3">
        <v>4</v>
      </c>
      <c r="X1062" s="2" t="s">
        <v>1994</v>
      </c>
      <c r="Y1062" s="18">
        <v>2</v>
      </c>
      <c r="Z1062" s="18">
        <v>1</v>
      </c>
      <c r="AA1062" s="18">
        <v>2</v>
      </c>
      <c r="AB1062" s="18">
        <v>0</v>
      </c>
      <c r="AC1062" s="18">
        <v>3</v>
      </c>
      <c r="AD1062" s="18">
        <v>5</v>
      </c>
      <c r="AE1062" s="18">
        <v>0</v>
      </c>
      <c r="AN1062" s="3">
        <f t="shared" si="11"/>
        <v>13</v>
      </c>
      <c r="AO1062" s="3">
        <v>11</v>
      </c>
      <c r="AP1062" s="3">
        <v>1</v>
      </c>
      <c r="AR1062" s="2" t="s">
        <v>2004</v>
      </c>
    </row>
    <row r="1063" spans="1:44" ht="12.75" customHeight="1">
      <c r="A1063" s="4">
        <v>35908</v>
      </c>
      <c r="B1063" s="2" t="s">
        <v>152</v>
      </c>
      <c r="C1063" s="2" t="s">
        <v>305</v>
      </c>
      <c r="E1063" s="18">
        <v>2</v>
      </c>
      <c r="F1063" s="18">
        <v>1</v>
      </c>
      <c r="G1063" s="18">
        <v>0</v>
      </c>
      <c r="H1063" s="18">
        <v>1</v>
      </c>
      <c r="I1063" s="18">
        <v>0</v>
      </c>
      <c r="J1063" s="18">
        <v>2</v>
      </c>
      <c r="K1063" s="18">
        <v>0</v>
      </c>
      <c r="T1063" s="3">
        <f t="shared" si="10"/>
        <v>6</v>
      </c>
      <c r="U1063" s="3">
        <v>9</v>
      </c>
      <c r="V1063" s="3">
        <v>1</v>
      </c>
      <c r="X1063" s="2" t="s">
        <v>1995</v>
      </c>
      <c r="Y1063" s="18">
        <v>1</v>
      </c>
      <c r="Z1063" s="18">
        <v>0</v>
      </c>
      <c r="AA1063" s="18">
        <v>3</v>
      </c>
      <c r="AB1063" s="18">
        <v>0</v>
      </c>
      <c r="AC1063" s="18">
        <v>0</v>
      </c>
      <c r="AD1063" s="18">
        <v>2</v>
      </c>
      <c r="AE1063" s="18">
        <v>1</v>
      </c>
      <c r="AN1063" s="3">
        <f t="shared" si="11"/>
        <v>7</v>
      </c>
      <c r="AO1063" s="3">
        <v>11</v>
      </c>
      <c r="AP1063" s="3">
        <v>2</v>
      </c>
      <c r="AR1063" s="2" t="s">
        <v>2005</v>
      </c>
    </row>
    <row r="1064" spans="1:44" ht="12.75" customHeight="1">
      <c r="A1064" s="4">
        <v>35909</v>
      </c>
      <c r="B1064" s="2" t="s">
        <v>152</v>
      </c>
      <c r="C1064" s="2" t="s">
        <v>137</v>
      </c>
      <c r="E1064" s="18">
        <v>0</v>
      </c>
      <c r="F1064" s="18">
        <v>0</v>
      </c>
      <c r="G1064" s="18">
        <v>0</v>
      </c>
      <c r="H1064" s="18">
        <v>0</v>
      </c>
      <c r="I1064" s="18">
        <v>0</v>
      </c>
      <c r="J1064" s="18">
        <v>4</v>
      </c>
      <c r="K1064" s="18">
        <v>0</v>
      </c>
      <c r="L1064" s="18">
        <v>0</v>
      </c>
      <c r="T1064" s="3">
        <f t="shared" si="10"/>
        <v>4</v>
      </c>
      <c r="U1064" s="3">
        <v>10</v>
      </c>
      <c r="V1064" s="3">
        <v>12</v>
      </c>
      <c r="X1064" s="2" t="s">
        <v>632</v>
      </c>
      <c r="Y1064" s="18">
        <v>0</v>
      </c>
      <c r="Z1064" s="18">
        <v>0</v>
      </c>
      <c r="AA1064" s="18">
        <v>2</v>
      </c>
      <c r="AB1064" s="18">
        <v>5</v>
      </c>
      <c r="AC1064" s="18">
        <v>4</v>
      </c>
      <c r="AD1064" s="18">
        <v>0</v>
      </c>
      <c r="AE1064" s="18" t="s">
        <v>162</v>
      </c>
      <c r="AN1064" s="3">
        <f t="shared" si="11"/>
        <v>11</v>
      </c>
      <c r="AO1064" s="3">
        <v>8</v>
      </c>
      <c r="AP1064" s="3">
        <v>1</v>
      </c>
      <c r="AR1064" s="2" t="s">
        <v>2399</v>
      </c>
    </row>
    <row r="1065" spans="1:44" ht="12.75" customHeight="1">
      <c r="A1065" s="4">
        <v>35910</v>
      </c>
      <c r="C1065" s="2" t="s">
        <v>183</v>
      </c>
      <c r="E1065" s="18">
        <v>2</v>
      </c>
      <c r="F1065" s="18">
        <v>2</v>
      </c>
      <c r="G1065" s="18">
        <v>0</v>
      </c>
      <c r="H1065" s="18">
        <v>0</v>
      </c>
      <c r="I1065" s="18">
        <v>8</v>
      </c>
      <c r="T1065" s="3">
        <f t="shared" si="10"/>
        <v>12</v>
      </c>
      <c r="U1065" s="3">
        <v>7</v>
      </c>
      <c r="V1065" s="3">
        <v>0</v>
      </c>
      <c r="X1065" s="2" t="s">
        <v>506</v>
      </c>
      <c r="Y1065" s="18">
        <v>0</v>
      </c>
      <c r="Z1065" s="18">
        <v>0</v>
      </c>
      <c r="AA1065" s="18">
        <v>0</v>
      </c>
      <c r="AB1065" s="18">
        <v>1</v>
      </c>
      <c r="AC1065" s="18">
        <v>0</v>
      </c>
      <c r="AN1065" s="3">
        <f t="shared" si="11"/>
        <v>1</v>
      </c>
      <c r="AO1065" s="3">
        <v>6</v>
      </c>
      <c r="AP1065" s="3">
        <v>1</v>
      </c>
      <c r="AR1065" s="2" t="s">
        <v>2006</v>
      </c>
    </row>
    <row r="1066" spans="1:44" ht="12.75" customHeight="1">
      <c r="A1066" s="4">
        <v>35913</v>
      </c>
      <c r="C1066" s="2" t="s">
        <v>236</v>
      </c>
      <c r="E1066" s="18">
        <v>1</v>
      </c>
      <c r="F1066" s="18">
        <v>0</v>
      </c>
      <c r="G1066" s="18">
        <v>0</v>
      </c>
      <c r="H1066" s="18">
        <v>1</v>
      </c>
      <c r="I1066" s="18">
        <v>0</v>
      </c>
      <c r="J1066" s="18">
        <v>0</v>
      </c>
      <c r="T1066" s="3">
        <f t="shared" si="10"/>
        <v>2</v>
      </c>
      <c r="U1066" s="3">
        <v>5</v>
      </c>
      <c r="V1066" s="3">
        <v>3</v>
      </c>
      <c r="X1066" s="2" t="s">
        <v>500</v>
      </c>
      <c r="Y1066" s="18">
        <v>2</v>
      </c>
      <c r="Z1066" s="18">
        <v>3</v>
      </c>
      <c r="AA1066" s="18">
        <v>0</v>
      </c>
      <c r="AB1066" s="18">
        <v>0</v>
      </c>
      <c r="AC1066" s="18">
        <v>5</v>
      </c>
      <c r="AD1066" s="18">
        <v>5</v>
      </c>
      <c r="AN1066" s="3">
        <f t="shared" si="11"/>
        <v>15</v>
      </c>
      <c r="AO1066" s="3">
        <v>14</v>
      </c>
      <c r="AP1066" s="3">
        <v>2</v>
      </c>
      <c r="AR1066" s="2" t="s">
        <v>2008</v>
      </c>
    </row>
    <row r="1067" spans="1:44" ht="12.75" customHeight="1">
      <c r="A1067" s="4">
        <v>35915</v>
      </c>
      <c r="B1067" s="2" t="s">
        <v>152</v>
      </c>
      <c r="C1067" s="2" t="s">
        <v>191</v>
      </c>
      <c r="E1067" s="18">
        <v>1</v>
      </c>
      <c r="F1067" s="18">
        <v>0</v>
      </c>
      <c r="G1067" s="18">
        <v>0</v>
      </c>
      <c r="H1067" s="18">
        <v>0</v>
      </c>
      <c r="I1067" s="18">
        <v>1</v>
      </c>
      <c r="J1067" s="18">
        <v>0</v>
      </c>
      <c r="K1067" s="18">
        <v>2</v>
      </c>
      <c r="L1067" s="18">
        <v>0</v>
      </c>
      <c r="M1067" s="18">
        <v>0</v>
      </c>
      <c r="N1067" s="18">
        <v>0</v>
      </c>
      <c r="T1067" s="3">
        <f t="shared" si="10"/>
        <v>4</v>
      </c>
      <c r="U1067" s="3">
        <v>11</v>
      </c>
      <c r="V1067" s="3">
        <v>2</v>
      </c>
      <c r="X1067" s="2" t="s">
        <v>563</v>
      </c>
      <c r="Y1067" s="18">
        <v>0</v>
      </c>
      <c r="Z1067" s="18">
        <v>0</v>
      </c>
      <c r="AA1067" s="18">
        <v>0</v>
      </c>
      <c r="AB1067" s="18">
        <v>1</v>
      </c>
      <c r="AC1067" s="18">
        <v>0</v>
      </c>
      <c r="AD1067" s="18">
        <v>1</v>
      </c>
      <c r="AE1067" s="18">
        <v>2</v>
      </c>
      <c r="AF1067" s="18">
        <v>0</v>
      </c>
      <c r="AG1067" s="18">
        <v>0</v>
      </c>
      <c r="AH1067" s="18">
        <v>1</v>
      </c>
      <c r="AN1067" s="3">
        <f t="shared" si="11"/>
        <v>5</v>
      </c>
      <c r="AO1067" s="3">
        <v>10</v>
      </c>
      <c r="AP1067" s="3">
        <v>4</v>
      </c>
      <c r="AR1067" s="2" t="s">
        <v>2007</v>
      </c>
    </row>
    <row r="1068" spans="1:44" ht="12.75" customHeight="1">
      <c r="A1068" s="4">
        <v>35922</v>
      </c>
      <c r="C1068" s="2" t="s">
        <v>379</v>
      </c>
      <c r="E1068" s="18">
        <v>0</v>
      </c>
      <c r="F1068" s="18">
        <v>3</v>
      </c>
      <c r="G1068" s="18">
        <v>1</v>
      </c>
      <c r="H1068" s="18">
        <v>0</v>
      </c>
      <c r="I1068" s="18">
        <v>0</v>
      </c>
      <c r="J1068" s="18">
        <v>1</v>
      </c>
      <c r="K1068" s="18" t="s">
        <v>162</v>
      </c>
      <c r="T1068" s="3">
        <f t="shared" si="10"/>
        <v>5</v>
      </c>
      <c r="U1068" s="3">
        <v>6</v>
      </c>
      <c r="V1068" s="3">
        <v>3</v>
      </c>
      <c r="X1068" s="2" t="s">
        <v>1908</v>
      </c>
      <c r="Y1068" s="18">
        <v>0</v>
      </c>
      <c r="Z1068" s="18">
        <v>0</v>
      </c>
      <c r="AA1068" s="18">
        <v>0</v>
      </c>
      <c r="AB1068" s="18">
        <v>1</v>
      </c>
      <c r="AC1068" s="18">
        <v>0</v>
      </c>
      <c r="AD1068" s="18">
        <v>2</v>
      </c>
      <c r="AE1068" s="18">
        <v>1</v>
      </c>
      <c r="AN1068" s="3">
        <f t="shared" si="11"/>
        <v>4</v>
      </c>
      <c r="AO1068" s="3">
        <v>8</v>
      </c>
      <c r="AP1068" s="3">
        <v>1</v>
      </c>
      <c r="AR1068" s="2" t="s">
        <v>2009</v>
      </c>
    </row>
    <row r="1069" spans="1:44" ht="12.75" customHeight="1">
      <c r="A1069" s="4">
        <v>35928</v>
      </c>
      <c r="C1069" s="2" t="s">
        <v>254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2</v>
      </c>
      <c r="K1069" s="18">
        <v>0</v>
      </c>
      <c r="T1069" s="3">
        <f t="shared" si="10"/>
        <v>2</v>
      </c>
      <c r="U1069" s="3">
        <v>7</v>
      </c>
      <c r="V1069" s="3">
        <v>4</v>
      </c>
      <c r="X1069" s="2" t="s">
        <v>1913</v>
      </c>
      <c r="Y1069" s="18">
        <v>3</v>
      </c>
      <c r="Z1069" s="18">
        <v>0</v>
      </c>
      <c r="AA1069" s="18">
        <v>0</v>
      </c>
      <c r="AB1069" s="18">
        <v>0</v>
      </c>
      <c r="AC1069" s="18">
        <v>0</v>
      </c>
      <c r="AD1069" s="18">
        <v>1</v>
      </c>
      <c r="AE1069" s="18">
        <v>1</v>
      </c>
      <c r="AN1069" s="3">
        <f t="shared" si="11"/>
        <v>5</v>
      </c>
      <c r="AO1069" s="3">
        <v>9</v>
      </c>
      <c r="AP1069" s="3">
        <v>0</v>
      </c>
      <c r="AR1069" s="2" t="s">
        <v>2010</v>
      </c>
    </row>
    <row r="1070" spans="1:44" ht="12.75" customHeight="1">
      <c r="A1070" s="4">
        <v>35929</v>
      </c>
      <c r="B1070" s="2" t="s">
        <v>152</v>
      </c>
      <c r="C1070" s="2" t="s">
        <v>392</v>
      </c>
      <c r="E1070" s="18">
        <v>0</v>
      </c>
      <c r="F1070" s="18">
        <v>0</v>
      </c>
      <c r="G1070" s="18">
        <v>0</v>
      </c>
      <c r="H1070" s="18">
        <v>1</v>
      </c>
      <c r="I1070" s="18">
        <v>0</v>
      </c>
      <c r="J1070" s="18">
        <v>1</v>
      </c>
      <c r="K1070" s="18">
        <v>0</v>
      </c>
      <c r="T1070" s="3">
        <f t="shared" si="10"/>
        <v>2</v>
      </c>
      <c r="U1070" s="3">
        <v>7</v>
      </c>
      <c r="V1070" s="3">
        <v>2</v>
      </c>
      <c r="X1070" s="2" t="s">
        <v>564</v>
      </c>
      <c r="Y1070" s="18">
        <v>1</v>
      </c>
      <c r="Z1070" s="18">
        <v>4</v>
      </c>
      <c r="AA1070" s="18">
        <v>0</v>
      </c>
      <c r="AB1070" s="18">
        <v>0</v>
      </c>
      <c r="AC1070" s="18">
        <v>1</v>
      </c>
      <c r="AD1070" s="18">
        <v>3</v>
      </c>
      <c r="AE1070" s="18" t="s">
        <v>162</v>
      </c>
      <c r="AN1070" s="3">
        <f t="shared" si="11"/>
        <v>9</v>
      </c>
      <c r="AO1070" s="3">
        <v>11</v>
      </c>
      <c r="AP1070" s="3">
        <v>0</v>
      </c>
      <c r="AR1070" s="2" t="s">
        <v>2011</v>
      </c>
    </row>
    <row r="1071" spans="1:44" ht="12.75" customHeight="1">
      <c r="A1071" s="4">
        <v>35934</v>
      </c>
      <c r="C1071" s="2" t="s">
        <v>183</v>
      </c>
      <c r="D1071" s="2" t="s">
        <v>258</v>
      </c>
      <c r="E1071" s="18">
        <v>1</v>
      </c>
      <c r="F1071" s="18">
        <v>0</v>
      </c>
      <c r="G1071" s="18">
        <v>2</v>
      </c>
      <c r="H1071" s="18">
        <v>0</v>
      </c>
      <c r="I1071" s="18">
        <v>0</v>
      </c>
      <c r="J1071" s="18">
        <v>1</v>
      </c>
      <c r="K1071" s="18">
        <v>0</v>
      </c>
      <c r="T1071" s="3">
        <f t="shared" si="10"/>
        <v>4</v>
      </c>
      <c r="U1071" s="3">
        <v>11</v>
      </c>
      <c r="V1071" s="3">
        <v>1</v>
      </c>
      <c r="X1071" s="2" t="s">
        <v>1913</v>
      </c>
      <c r="Y1071" s="18">
        <v>0</v>
      </c>
      <c r="Z1071" s="18">
        <v>0</v>
      </c>
      <c r="AA1071" s="18">
        <v>0</v>
      </c>
      <c r="AB1071" s="18">
        <v>0</v>
      </c>
      <c r="AC1071" s="18">
        <v>1</v>
      </c>
      <c r="AD1071" s="18">
        <v>2</v>
      </c>
      <c r="AE1071" s="18">
        <v>2</v>
      </c>
      <c r="AN1071" s="3">
        <f t="shared" si="11"/>
        <v>5</v>
      </c>
      <c r="AO1071" s="3">
        <v>7</v>
      </c>
      <c r="AP1071" s="3">
        <v>2</v>
      </c>
      <c r="AR1071" s="2" t="s">
        <v>631</v>
      </c>
    </row>
    <row r="1072" spans="1:44" ht="12.75" customHeight="1">
      <c r="A1072" s="4">
        <v>35935</v>
      </c>
      <c r="C1072" s="2" t="s">
        <v>305</v>
      </c>
      <c r="E1072" s="18">
        <v>7</v>
      </c>
      <c r="F1072" s="18">
        <v>0</v>
      </c>
      <c r="G1072" s="18">
        <v>1</v>
      </c>
      <c r="H1072" s="18">
        <v>9</v>
      </c>
      <c r="I1072" s="18">
        <v>0</v>
      </c>
      <c r="J1072" s="18">
        <v>0</v>
      </c>
      <c r="T1072" s="3">
        <f t="shared" si="10"/>
        <v>17</v>
      </c>
      <c r="U1072" s="3">
        <v>13</v>
      </c>
      <c r="V1072" s="3">
        <v>4</v>
      </c>
      <c r="X1072" s="2" t="s">
        <v>565</v>
      </c>
      <c r="Y1072" s="18">
        <v>2</v>
      </c>
      <c r="Z1072" s="18">
        <v>2</v>
      </c>
      <c r="AA1072" s="18">
        <v>2</v>
      </c>
      <c r="AB1072" s="18">
        <v>2</v>
      </c>
      <c r="AC1072" s="18">
        <v>2</v>
      </c>
      <c r="AD1072" s="18">
        <v>0</v>
      </c>
      <c r="AE1072" s="18">
        <v>2</v>
      </c>
      <c r="AN1072" s="3">
        <f t="shared" si="11"/>
        <v>12</v>
      </c>
      <c r="AO1072" s="3">
        <v>14</v>
      </c>
      <c r="AP1072" s="3">
        <v>3</v>
      </c>
      <c r="AR1072" s="2" t="s">
        <v>2012</v>
      </c>
    </row>
    <row r="1073" ht="12.75" customHeight="1">
      <c r="A1073" s="4"/>
    </row>
    <row r="1074" spans="1:44" ht="12.75" customHeight="1">
      <c r="A1074" s="4">
        <v>36246</v>
      </c>
      <c r="B1074" s="2" t="s">
        <v>152</v>
      </c>
      <c r="C1074" s="2" t="s">
        <v>1910</v>
      </c>
      <c r="T1074" s="3">
        <v>8</v>
      </c>
      <c r="U1074" s="3">
        <v>13</v>
      </c>
      <c r="V1074" s="3" t="s">
        <v>162</v>
      </c>
      <c r="X1074" s="2" t="s">
        <v>2015</v>
      </c>
      <c r="AN1074" s="3" t="s">
        <v>162</v>
      </c>
      <c r="AO1074" s="3" t="s">
        <v>162</v>
      </c>
      <c r="AP1074" s="3" t="s">
        <v>162</v>
      </c>
      <c r="AR1074" s="2" t="s">
        <v>27</v>
      </c>
    </row>
    <row r="1075" spans="1:45" ht="12.75" customHeight="1">
      <c r="A1075" s="5">
        <v>36251</v>
      </c>
      <c r="B1075" s="2" t="s">
        <v>152</v>
      </c>
      <c r="C1075" s="2" t="s">
        <v>191</v>
      </c>
      <c r="E1075" s="18">
        <v>0</v>
      </c>
      <c r="F1075" s="18">
        <v>0</v>
      </c>
      <c r="G1075" s="18">
        <v>2</v>
      </c>
      <c r="H1075" s="18">
        <v>3</v>
      </c>
      <c r="I1075" s="18">
        <v>6</v>
      </c>
      <c r="T1075" s="3">
        <f t="shared" si="10"/>
        <v>11</v>
      </c>
      <c r="U1075" s="3">
        <v>9</v>
      </c>
      <c r="V1075" s="3">
        <v>3</v>
      </c>
      <c r="X1075" s="2" t="s">
        <v>506</v>
      </c>
      <c r="Y1075" s="18">
        <v>0</v>
      </c>
      <c r="Z1075" s="18">
        <v>3</v>
      </c>
      <c r="AA1075" s="18">
        <v>2</v>
      </c>
      <c r="AB1075" s="18">
        <v>0</v>
      </c>
      <c r="AC1075" s="18">
        <v>2</v>
      </c>
      <c r="AN1075" s="3">
        <f t="shared" si="11"/>
        <v>7</v>
      </c>
      <c r="AO1075" s="3">
        <v>7</v>
      </c>
      <c r="AP1075" s="3">
        <v>2</v>
      </c>
      <c r="AR1075" s="2" t="s">
        <v>606</v>
      </c>
      <c r="AS1075" s="2" t="s">
        <v>1848</v>
      </c>
    </row>
    <row r="1076" spans="1:46" ht="12.75" customHeight="1">
      <c r="A1076" s="5">
        <v>36257</v>
      </c>
      <c r="C1076" s="2" t="s">
        <v>290</v>
      </c>
      <c r="E1076" s="18">
        <v>0</v>
      </c>
      <c r="F1076" s="18">
        <v>0</v>
      </c>
      <c r="G1076" s="18">
        <v>1</v>
      </c>
      <c r="H1076" s="18">
        <v>2</v>
      </c>
      <c r="I1076" s="18">
        <v>0</v>
      </c>
      <c r="J1076" s="18">
        <v>4</v>
      </c>
      <c r="K1076" s="18" t="s">
        <v>162</v>
      </c>
      <c r="T1076" s="3">
        <f t="shared" si="10"/>
        <v>7</v>
      </c>
      <c r="U1076" s="3">
        <v>9</v>
      </c>
      <c r="V1076" s="3">
        <v>1</v>
      </c>
      <c r="X1076" s="2" t="s">
        <v>502</v>
      </c>
      <c r="Y1076" s="18">
        <v>2</v>
      </c>
      <c r="Z1076" s="18">
        <v>0</v>
      </c>
      <c r="AA1076" s="18">
        <v>0</v>
      </c>
      <c r="AB1076" s="18">
        <v>1</v>
      </c>
      <c r="AC1076" s="18">
        <v>0</v>
      </c>
      <c r="AD1076" s="18">
        <v>0</v>
      </c>
      <c r="AE1076" s="18">
        <v>3</v>
      </c>
      <c r="AN1076" s="3">
        <f t="shared" si="11"/>
        <v>6</v>
      </c>
      <c r="AO1076" s="3">
        <v>10</v>
      </c>
      <c r="AP1076" s="3">
        <v>1</v>
      </c>
      <c r="AR1076" s="2" t="s">
        <v>2401</v>
      </c>
      <c r="AS1076" s="2" t="s">
        <v>244</v>
      </c>
      <c r="AT1076" s="2">
        <v>13</v>
      </c>
    </row>
    <row r="1077" spans="1:45" ht="12.75" customHeight="1">
      <c r="A1077" s="5">
        <v>36258</v>
      </c>
      <c r="C1077" s="2" t="s">
        <v>392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1</v>
      </c>
      <c r="K1077" s="18">
        <v>1</v>
      </c>
      <c r="T1077" s="3">
        <f t="shared" si="10"/>
        <v>2</v>
      </c>
      <c r="U1077" s="3">
        <v>9</v>
      </c>
      <c r="V1077" s="3">
        <v>0</v>
      </c>
      <c r="X1077" s="2" t="s">
        <v>1908</v>
      </c>
      <c r="Y1077" s="18">
        <v>0</v>
      </c>
      <c r="Z1077" s="18">
        <v>4</v>
      </c>
      <c r="AA1077" s="18">
        <v>0</v>
      </c>
      <c r="AB1077" s="18">
        <v>2</v>
      </c>
      <c r="AC1077" s="18">
        <v>0</v>
      </c>
      <c r="AD1077" s="18">
        <v>0</v>
      </c>
      <c r="AE1077" s="18" t="s">
        <v>162</v>
      </c>
      <c r="AN1077" s="3">
        <f t="shared" si="11"/>
        <v>6</v>
      </c>
      <c r="AO1077" s="3">
        <v>8</v>
      </c>
      <c r="AP1077" s="3">
        <v>0</v>
      </c>
      <c r="AR1077" s="2" t="s">
        <v>607</v>
      </c>
      <c r="AS1077" s="2" t="s">
        <v>2330</v>
      </c>
    </row>
    <row r="1078" spans="1:44" ht="12.75" customHeight="1">
      <c r="A1078" s="5">
        <v>36263</v>
      </c>
      <c r="C1078" s="2" t="s">
        <v>174</v>
      </c>
      <c r="E1078" s="18">
        <v>0</v>
      </c>
      <c r="F1078" s="18">
        <v>0</v>
      </c>
      <c r="G1078" s="18">
        <v>2</v>
      </c>
      <c r="H1078" s="18">
        <v>2</v>
      </c>
      <c r="I1078" s="18">
        <v>0</v>
      </c>
      <c r="J1078" s="18">
        <v>1</v>
      </c>
      <c r="T1078" s="3">
        <f t="shared" si="10"/>
        <v>5</v>
      </c>
      <c r="U1078" s="3">
        <v>6</v>
      </c>
      <c r="V1078" s="3">
        <v>1</v>
      </c>
      <c r="X1078" s="2" t="s">
        <v>506</v>
      </c>
      <c r="Y1078" s="18">
        <v>0</v>
      </c>
      <c r="Z1078" s="18">
        <v>0</v>
      </c>
      <c r="AA1078" s="18">
        <v>0</v>
      </c>
      <c r="AB1078" s="18">
        <v>2</v>
      </c>
      <c r="AC1078" s="18">
        <v>2</v>
      </c>
      <c r="AD1078" s="18">
        <v>15</v>
      </c>
      <c r="AN1078" s="3">
        <f t="shared" si="11"/>
        <v>19</v>
      </c>
      <c r="AO1078" s="3">
        <v>16</v>
      </c>
      <c r="AP1078" s="3">
        <v>2</v>
      </c>
      <c r="AR1078" s="2" t="s">
        <v>611</v>
      </c>
    </row>
    <row r="1079" spans="1:44" ht="12.75" customHeight="1">
      <c r="A1079" s="5">
        <v>36265</v>
      </c>
      <c r="B1079" s="2" t="s">
        <v>152</v>
      </c>
      <c r="C1079" s="2" t="s">
        <v>168</v>
      </c>
      <c r="E1079" s="18">
        <v>4</v>
      </c>
      <c r="F1079" s="18">
        <v>3</v>
      </c>
      <c r="G1079" s="18">
        <v>5</v>
      </c>
      <c r="H1079" s="18">
        <v>6</v>
      </c>
      <c r="I1079" s="18">
        <v>0</v>
      </c>
      <c r="T1079" s="3">
        <f t="shared" si="10"/>
        <v>18</v>
      </c>
      <c r="U1079" s="3">
        <v>13</v>
      </c>
      <c r="V1079" s="3">
        <v>1</v>
      </c>
      <c r="X1079" s="2" t="s">
        <v>1996</v>
      </c>
      <c r="Y1079" s="18">
        <v>0</v>
      </c>
      <c r="Z1079" s="18">
        <v>3</v>
      </c>
      <c r="AA1079" s="18">
        <v>0</v>
      </c>
      <c r="AB1079" s="18">
        <v>1</v>
      </c>
      <c r="AC1079" s="18">
        <v>0</v>
      </c>
      <c r="AN1079" s="3">
        <f t="shared" si="11"/>
        <v>4</v>
      </c>
      <c r="AO1079" s="3">
        <v>8</v>
      </c>
      <c r="AP1079" s="3">
        <v>3</v>
      </c>
      <c r="AR1079" s="2" t="s">
        <v>612</v>
      </c>
    </row>
    <row r="1080" spans="1:44" ht="12.75" customHeight="1">
      <c r="A1080" s="5">
        <v>36271</v>
      </c>
      <c r="C1080" s="2" t="s">
        <v>137</v>
      </c>
      <c r="E1080" s="18">
        <v>0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T1080" s="3">
        <f t="shared" si="10"/>
        <v>0</v>
      </c>
      <c r="U1080" s="3">
        <v>2</v>
      </c>
      <c r="V1080" s="3">
        <v>3</v>
      </c>
      <c r="X1080" s="2" t="s">
        <v>502</v>
      </c>
      <c r="Y1080" s="18">
        <v>1</v>
      </c>
      <c r="Z1080" s="18">
        <v>3</v>
      </c>
      <c r="AA1080" s="18">
        <v>1</v>
      </c>
      <c r="AB1080" s="18">
        <v>0</v>
      </c>
      <c r="AC1080" s="18">
        <v>3</v>
      </c>
      <c r="AD1080" s="18">
        <v>0</v>
      </c>
      <c r="AE1080" s="18">
        <v>0</v>
      </c>
      <c r="AN1080" s="3">
        <f t="shared" si="11"/>
        <v>8</v>
      </c>
      <c r="AO1080" s="3">
        <v>11</v>
      </c>
      <c r="AP1080" s="3">
        <v>0</v>
      </c>
      <c r="AR1080" s="2" t="s">
        <v>2400</v>
      </c>
    </row>
    <row r="1081" spans="1:44" ht="12.75" customHeight="1">
      <c r="A1081" s="5">
        <v>36276</v>
      </c>
      <c r="B1081" s="2" t="s">
        <v>152</v>
      </c>
      <c r="C1081" s="2" t="s">
        <v>379</v>
      </c>
      <c r="E1081" s="18">
        <v>0</v>
      </c>
      <c r="F1081" s="18">
        <v>0</v>
      </c>
      <c r="G1081" s="18">
        <v>0</v>
      </c>
      <c r="H1081" s="18">
        <v>1</v>
      </c>
      <c r="I1081" s="18">
        <v>1</v>
      </c>
      <c r="J1081" s="18">
        <v>3</v>
      </c>
      <c r="K1081" s="18">
        <v>0</v>
      </c>
      <c r="T1081" s="3">
        <f t="shared" si="10"/>
        <v>5</v>
      </c>
      <c r="U1081" s="3">
        <v>8</v>
      </c>
      <c r="V1081" s="3">
        <v>2</v>
      </c>
      <c r="X1081" s="2" t="s">
        <v>502</v>
      </c>
      <c r="Y1081" s="18">
        <v>0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  <c r="AE1081" s="18">
        <v>0</v>
      </c>
      <c r="AN1081" s="3">
        <f t="shared" si="11"/>
        <v>0</v>
      </c>
      <c r="AO1081" s="3">
        <v>1</v>
      </c>
      <c r="AP1081" s="3">
        <v>0</v>
      </c>
      <c r="AR1081" s="2" t="s">
        <v>613</v>
      </c>
    </row>
    <row r="1082" spans="1:44" ht="12.75" customHeight="1">
      <c r="A1082" s="5">
        <v>36277</v>
      </c>
      <c r="C1082" s="2" t="s">
        <v>305</v>
      </c>
      <c r="E1082" s="18">
        <v>0</v>
      </c>
      <c r="F1082" s="18">
        <v>0</v>
      </c>
      <c r="G1082" s="18">
        <v>0</v>
      </c>
      <c r="H1082" s="18">
        <v>0</v>
      </c>
      <c r="I1082" s="18">
        <v>3</v>
      </c>
      <c r="J1082" s="18">
        <v>2</v>
      </c>
      <c r="K1082" s="18">
        <v>0</v>
      </c>
      <c r="T1082" s="3">
        <f t="shared" si="10"/>
        <v>5</v>
      </c>
      <c r="U1082" s="3">
        <v>6</v>
      </c>
      <c r="V1082" s="3">
        <v>6</v>
      </c>
      <c r="X1082" s="2" t="s">
        <v>1997</v>
      </c>
      <c r="Y1082" s="18">
        <v>0</v>
      </c>
      <c r="Z1082" s="18">
        <v>0</v>
      </c>
      <c r="AA1082" s="18">
        <v>3</v>
      </c>
      <c r="AB1082" s="18">
        <v>4</v>
      </c>
      <c r="AC1082" s="18">
        <v>0</v>
      </c>
      <c r="AD1082" s="18">
        <v>2</v>
      </c>
      <c r="AE1082" s="18">
        <v>0</v>
      </c>
      <c r="AN1082" s="3">
        <f t="shared" si="11"/>
        <v>9</v>
      </c>
      <c r="AO1082" s="3">
        <v>9</v>
      </c>
      <c r="AP1082" s="3">
        <v>3</v>
      </c>
      <c r="AR1082" s="2" t="s">
        <v>614</v>
      </c>
    </row>
    <row r="1083" spans="1:44" ht="12.75" customHeight="1">
      <c r="A1083" s="5">
        <v>36279</v>
      </c>
      <c r="B1083" s="2" t="s">
        <v>152</v>
      </c>
      <c r="C1083" s="2" t="s">
        <v>254</v>
      </c>
      <c r="E1083" s="18">
        <v>0</v>
      </c>
      <c r="F1083" s="18">
        <v>0</v>
      </c>
      <c r="G1083" s="18">
        <v>0</v>
      </c>
      <c r="H1083" s="18">
        <v>0</v>
      </c>
      <c r="I1083" s="18">
        <v>0</v>
      </c>
      <c r="T1083" s="3">
        <f t="shared" si="10"/>
        <v>0</v>
      </c>
      <c r="U1083" s="3">
        <v>1</v>
      </c>
      <c r="V1083" s="3">
        <v>3</v>
      </c>
      <c r="X1083" s="2" t="s">
        <v>615</v>
      </c>
      <c r="Y1083" s="18">
        <v>2</v>
      </c>
      <c r="Z1083" s="18">
        <v>4</v>
      </c>
      <c r="AA1083" s="18">
        <v>5</v>
      </c>
      <c r="AB1083" s="18">
        <v>0</v>
      </c>
      <c r="AC1083" s="18" t="s">
        <v>162</v>
      </c>
      <c r="AN1083" s="3">
        <f t="shared" si="11"/>
        <v>11</v>
      </c>
      <c r="AO1083" s="3">
        <v>10</v>
      </c>
      <c r="AP1083" s="3">
        <v>3</v>
      </c>
      <c r="AR1083" s="2" t="s">
        <v>616</v>
      </c>
    </row>
    <row r="1084" spans="1:44" ht="12.75" customHeight="1">
      <c r="A1084" s="5">
        <v>36281</v>
      </c>
      <c r="C1084" s="2" t="s">
        <v>1906</v>
      </c>
      <c r="E1084" s="18">
        <v>4</v>
      </c>
      <c r="F1084" s="18">
        <v>7</v>
      </c>
      <c r="G1084" s="18">
        <v>2</v>
      </c>
      <c r="H1084" s="18">
        <v>7</v>
      </c>
      <c r="I1084" s="18" t="s">
        <v>162</v>
      </c>
      <c r="T1084" s="3">
        <f t="shared" si="10"/>
        <v>20</v>
      </c>
      <c r="U1084" s="3">
        <v>15</v>
      </c>
      <c r="V1084" s="3">
        <v>1</v>
      </c>
      <c r="X1084" s="2" t="s">
        <v>1996</v>
      </c>
      <c r="Y1084" s="18">
        <v>0</v>
      </c>
      <c r="Z1084" s="18">
        <v>0</v>
      </c>
      <c r="AA1084" s="18">
        <v>0</v>
      </c>
      <c r="AB1084" s="18">
        <v>1</v>
      </c>
      <c r="AC1084" s="18">
        <v>1</v>
      </c>
      <c r="AN1084" s="3">
        <f t="shared" si="11"/>
        <v>2</v>
      </c>
      <c r="AO1084" s="3">
        <v>5</v>
      </c>
      <c r="AP1084" s="3">
        <v>5</v>
      </c>
      <c r="AR1084" s="2" t="s">
        <v>617</v>
      </c>
    </row>
    <row r="1085" spans="1:44" ht="12.75" customHeight="1">
      <c r="A1085" s="5">
        <v>36281</v>
      </c>
      <c r="C1085" s="2" t="s">
        <v>382</v>
      </c>
      <c r="E1085" s="18">
        <v>2</v>
      </c>
      <c r="F1085" s="18">
        <v>0</v>
      </c>
      <c r="G1085" s="18">
        <v>0</v>
      </c>
      <c r="H1085" s="18">
        <v>0</v>
      </c>
      <c r="I1085" s="18">
        <v>0</v>
      </c>
      <c r="J1085" s="18">
        <v>0</v>
      </c>
      <c r="K1085" s="18">
        <v>0</v>
      </c>
      <c r="T1085" s="3">
        <f t="shared" si="10"/>
        <v>2</v>
      </c>
      <c r="U1085" s="3">
        <v>5</v>
      </c>
      <c r="V1085" s="3">
        <v>6</v>
      </c>
      <c r="X1085" s="2" t="s">
        <v>618</v>
      </c>
      <c r="Y1085" s="18">
        <v>0</v>
      </c>
      <c r="Z1085" s="18">
        <v>0</v>
      </c>
      <c r="AA1085" s="18">
        <v>2</v>
      </c>
      <c r="AB1085" s="18">
        <v>0</v>
      </c>
      <c r="AC1085" s="18">
        <v>1</v>
      </c>
      <c r="AD1085" s="18">
        <v>3</v>
      </c>
      <c r="AN1085" s="3">
        <f t="shared" si="11"/>
        <v>6</v>
      </c>
      <c r="AO1085" s="3">
        <v>12</v>
      </c>
      <c r="AP1085" s="3">
        <v>2</v>
      </c>
      <c r="AR1085" s="2" t="s">
        <v>2397</v>
      </c>
    </row>
    <row r="1086" spans="1:44" ht="12.75" customHeight="1">
      <c r="A1086" s="5">
        <v>36283</v>
      </c>
      <c r="B1086" s="2" t="s">
        <v>152</v>
      </c>
      <c r="C1086" s="2" t="s">
        <v>183</v>
      </c>
      <c r="E1086" s="18">
        <v>0</v>
      </c>
      <c r="F1086" s="18">
        <v>2</v>
      </c>
      <c r="G1086" s="18">
        <v>0</v>
      </c>
      <c r="H1086" s="18">
        <v>0</v>
      </c>
      <c r="I1086" s="18">
        <v>4</v>
      </c>
      <c r="J1086" s="18">
        <v>2</v>
      </c>
      <c r="K1086" s="18">
        <v>0</v>
      </c>
      <c r="T1086" s="3">
        <f t="shared" si="10"/>
        <v>8</v>
      </c>
      <c r="U1086" s="3">
        <v>9</v>
      </c>
      <c r="V1086" s="3">
        <v>2</v>
      </c>
      <c r="X1086" s="2" t="s">
        <v>1913</v>
      </c>
      <c r="Y1086" s="18">
        <v>2</v>
      </c>
      <c r="Z1086" s="18">
        <v>0</v>
      </c>
      <c r="AA1086" s="18">
        <v>0</v>
      </c>
      <c r="AB1086" s="18">
        <v>3</v>
      </c>
      <c r="AC1086" s="18">
        <v>0</v>
      </c>
      <c r="AD1086" s="18">
        <v>2</v>
      </c>
      <c r="AE1086" s="18">
        <v>0</v>
      </c>
      <c r="AN1086" s="3">
        <f t="shared" si="11"/>
        <v>7</v>
      </c>
      <c r="AO1086" s="3">
        <v>8</v>
      </c>
      <c r="AP1086" s="3">
        <v>1</v>
      </c>
      <c r="AR1086" s="2" t="s">
        <v>619</v>
      </c>
    </row>
    <row r="1087" spans="1:44" ht="12.75" customHeight="1">
      <c r="A1087" s="5">
        <v>36284</v>
      </c>
      <c r="B1087" s="2" t="s">
        <v>152</v>
      </c>
      <c r="C1087" s="2" t="s">
        <v>175</v>
      </c>
      <c r="E1087" s="18">
        <v>1</v>
      </c>
      <c r="F1087" s="18">
        <v>0</v>
      </c>
      <c r="G1087" s="18">
        <v>2</v>
      </c>
      <c r="H1087" s="18">
        <v>0</v>
      </c>
      <c r="I1087" s="18">
        <v>0</v>
      </c>
      <c r="J1087" s="18">
        <v>0</v>
      </c>
      <c r="K1087" s="18">
        <v>0</v>
      </c>
      <c r="T1087" s="3">
        <f t="shared" si="10"/>
        <v>3</v>
      </c>
      <c r="U1087" s="3">
        <v>7</v>
      </c>
      <c r="V1087" s="3">
        <v>5</v>
      </c>
      <c r="X1087" s="2" t="s">
        <v>1997</v>
      </c>
      <c r="Y1087" s="18">
        <v>2</v>
      </c>
      <c r="Z1087" s="18">
        <v>0</v>
      </c>
      <c r="AA1087" s="18">
        <v>2</v>
      </c>
      <c r="AB1087" s="18">
        <v>1</v>
      </c>
      <c r="AC1087" s="18">
        <v>1</v>
      </c>
      <c r="AD1087" s="18">
        <v>3</v>
      </c>
      <c r="AE1087" s="18" t="s">
        <v>162</v>
      </c>
      <c r="AN1087" s="3">
        <f t="shared" si="11"/>
        <v>9</v>
      </c>
      <c r="AO1087" s="3">
        <v>11</v>
      </c>
      <c r="AP1087" s="3">
        <v>1</v>
      </c>
      <c r="AR1087" s="2" t="s">
        <v>620</v>
      </c>
    </row>
    <row r="1088" spans="1:44" ht="12.75" customHeight="1">
      <c r="A1088" s="5">
        <v>36289</v>
      </c>
      <c r="C1088" s="2" t="s">
        <v>374</v>
      </c>
      <c r="E1088" s="18">
        <v>0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T1088" s="3">
        <f t="shared" si="10"/>
        <v>0</v>
      </c>
      <c r="U1088" s="3">
        <v>0</v>
      </c>
      <c r="V1088" s="3">
        <v>0</v>
      </c>
      <c r="X1088" s="2" t="s">
        <v>502</v>
      </c>
      <c r="Y1088" s="18">
        <v>0</v>
      </c>
      <c r="Z1088" s="18">
        <v>0</v>
      </c>
      <c r="AA1088" s="18">
        <v>0</v>
      </c>
      <c r="AB1088" s="18">
        <v>1</v>
      </c>
      <c r="AC1088" s="18">
        <v>0</v>
      </c>
      <c r="AD1088" s="18">
        <v>0</v>
      </c>
      <c r="AE1088" s="18">
        <v>0</v>
      </c>
      <c r="AN1088" s="3">
        <f t="shared" si="11"/>
        <v>1</v>
      </c>
      <c r="AO1088" s="3">
        <v>3</v>
      </c>
      <c r="AP1088" s="3">
        <v>0</v>
      </c>
      <c r="AR1088" s="2" t="s">
        <v>2396</v>
      </c>
    </row>
    <row r="1089" spans="1:44" ht="12.75" customHeight="1">
      <c r="A1089" s="5">
        <v>36291</v>
      </c>
      <c r="B1089" s="2" t="s">
        <v>152</v>
      </c>
      <c r="C1089" s="2" t="s">
        <v>378</v>
      </c>
      <c r="E1089" s="18">
        <v>0</v>
      </c>
      <c r="F1089" s="18">
        <v>0</v>
      </c>
      <c r="G1089" s="18">
        <v>0</v>
      </c>
      <c r="H1089" s="18">
        <v>0</v>
      </c>
      <c r="I1089" s="18">
        <v>0</v>
      </c>
      <c r="T1089" s="3">
        <f t="shared" si="10"/>
        <v>0</v>
      </c>
      <c r="U1089" s="3">
        <v>2</v>
      </c>
      <c r="V1089" s="3">
        <v>2</v>
      </c>
      <c r="X1089" s="2" t="s">
        <v>564</v>
      </c>
      <c r="Y1089" s="18">
        <v>3</v>
      </c>
      <c r="Z1089" s="18">
        <v>0</v>
      </c>
      <c r="AA1089" s="18">
        <v>1</v>
      </c>
      <c r="AB1089" s="18">
        <v>6</v>
      </c>
      <c r="AC1089" s="18" t="s">
        <v>162</v>
      </c>
      <c r="AN1089" s="3">
        <f t="shared" si="11"/>
        <v>10</v>
      </c>
      <c r="AO1089" s="3">
        <v>10</v>
      </c>
      <c r="AP1089" s="3">
        <v>3</v>
      </c>
      <c r="AR1089" s="2" t="s">
        <v>627</v>
      </c>
    </row>
    <row r="1090" spans="1:44" ht="12.75" customHeight="1">
      <c r="A1090" s="5">
        <v>36293</v>
      </c>
      <c r="C1090" s="2" t="s">
        <v>236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T1090" s="3">
        <f t="shared" si="10"/>
        <v>0</v>
      </c>
      <c r="U1090" s="3">
        <v>4</v>
      </c>
      <c r="V1090" s="3">
        <v>1</v>
      </c>
      <c r="X1090" s="2" t="s">
        <v>632</v>
      </c>
      <c r="Y1090" s="18">
        <v>2</v>
      </c>
      <c r="Z1090" s="18">
        <v>0</v>
      </c>
      <c r="AA1090" s="18">
        <v>2</v>
      </c>
      <c r="AB1090" s="18">
        <v>4</v>
      </c>
      <c r="AC1090" s="18">
        <v>0</v>
      </c>
      <c r="AD1090" s="18">
        <v>0</v>
      </c>
      <c r="AE1090" s="18">
        <v>0</v>
      </c>
      <c r="AN1090" s="3">
        <f t="shared" si="11"/>
        <v>8</v>
      </c>
      <c r="AO1090" s="3">
        <v>7</v>
      </c>
      <c r="AP1090" s="3">
        <v>0</v>
      </c>
      <c r="AR1090" s="2" t="s">
        <v>628</v>
      </c>
    </row>
    <row r="1091" spans="1:44" ht="12.75" customHeight="1">
      <c r="A1091" s="5">
        <v>36295</v>
      </c>
      <c r="C1091" s="2" t="s">
        <v>367</v>
      </c>
      <c r="E1091" s="18">
        <v>0</v>
      </c>
      <c r="F1091" s="18">
        <v>1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T1091" s="3">
        <f t="shared" si="10"/>
        <v>1</v>
      </c>
      <c r="U1091" s="3">
        <v>2</v>
      </c>
      <c r="V1091" s="3">
        <v>1</v>
      </c>
      <c r="X1091" s="2" t="s">
        <v>502</v>
      </c>
      <c r="Y1091" s="18">
        <v>0</v>
      </c>
      <c r="Z1091" s="18">
        <v>0</v>
      </c>
      <c r="AA1091" s="18">
        <v>0</v>
      </c>
      <c r="AB1091" s="18">
        <v>2</v>
      </c>
      <c r="AC1091" s="18">
        <v>0</v>
      </c>
      <c r="AD1091" s="18">
        <v>3</v>
      </c>
      <c r="AE1091" s="18">
        <v>0</v>
      </c>
      <c r="AN1091" s="3">
        <f t="shared" si="11"/>
        <v>5</v>
      </c>
      <c r="AO1091" s="3">
        <v>7</v>
      </c>
      <c r="AP1091" s="3">
        <v>1</v>
      </c>
      <c r="AR1091" s="2" t="s">
        <v>458</v>
      </c>
    </row>
    <row r="1092" spans="1:44" ht="12.75" customHeight="1">
      <c r="A1092" s="5">
        <v>36298</v>
      </c>
      <c r="B1092" s="2" t="s">
        <v>152</v>
      </c>
      <c r="C1092" s="2" t="s">
        <v>192</v>
      </c>
      <c r="E1092" s="18">
        <v>0</v>
      </c>
      <c r="F1092" s="18">
        <v>0</v>
      </c>
      <c r="G1092" s="18">
        <v>2</v>
      </c>
      <c r="H1092" s="18">
        <v>1</v>
      </c>
      <c r="I1092" s="18">
        <v>0</v>
      </c>
      <c r="J1092" s="18">
        <v>1</v>
      </c>
      <c r="K1092" s="18">
        <v>1</v>
      </c>
      <c r="T1092" s="3">
        <f t="shared" si="10"/>
        <v>5</v>
      </c>
      <c r="U1092" s="3">
        <v>5</v>
      </c>
      <c r="V1092" s="3">
        <v>3</v>
      </c>
      <c r="X1092" s="2" t="s">
        <v>629</v>
      </c>
      <c r="Y1092" s="18">
        <v>0</v>
      </c>
      <c r="Z1092" s="18">
        <v>1</v>
      </c>
      <c r="AA1092" s="18">
        <v>4</v>
      </c>
      <c r="AB1092" s="18">
        <v>1</v>
      </c>
      <c r="AC1092" s="18">
        <v>0</v>
      </c>
      <c r="AD1092" s="18">
        <v>3</v>
      </c>
      <c r="AE1092" s="18" t="s">
        <v>162</v>
      </c>
      <c r="AN1092" s="3">
        <f t="shared" si="11"/>
        <v>9</v>
      </c>
      <c r="AO1092" s="3">
        <v>12</v>
      </c>
      <c r="AP1092" s="3">
        <v>3</v>
      </c>
      <c r="AR1092" s="2" t="s">
        <v>630</v>
      </c>
    </row>
    <row r="1093" spans="1:44" ht="12.75" customHeight="1">
      <c r="A1093" s="5">
        <v>36306</v>
      </c>
      <c r="C1093" s="2" t="s">
        <v>191</v>
      </c>
      <c r="D1093" s="2" t="s">
        <v>258</v>
      </c>
      <c r="E1093" s="18">
        <v>0</v>
      </c>
      <c r="F1093" s="18">
        <v>2</v>
      </c>
      <c r="G1093" s="18">
        <v>0</v>
      </c>
      <c r="H1093" s="18">
        <v>0</v>
      </c>
      <c r="I1093" s="18">
        <v>0</v>
      </c>
      <c r="J1093" s="18">
        <v>0</v>
      </c>
      <c r="K1093" s="18" t="s">
        <v>162</v>
      </c>
      <c r="T1093" s="3">
        <f t="shared" si="10"/>
        <v>2</v>
      </c>
      <c r="U1093" s="3">
        <v>6</v>
      </c>
      <c r="V1093" s="3">
        <v>3</v>
      </c>
      <c r="X1093" s="2" t="s">
        <v>621</v>
      </c>
      <c r="Y1093" s="18">
        <v>0</v>
      </c>
      <c r="Z1093" s="18">
        <v>0</v>
      </c>
      <c r="AA1093" s="18">
        <v>0</v>
      </c>
      <c r="AB1093" s="18">
        <v>0</v>
      </c>
      <c r="AC1093" s="18">
        <v>0</v>
      </c>
      <c r="AD1093" s="18">
        <v>1</v>
      </c>
      <c r="AE1093" s="18">
        <v>0</v>
      </c>
      <c r="AN1093" s="3">
        <f t="shared" si="11"/>
        <v>1</v>
      </c>
      <c r="AO1093" s="3">
        <v>7</v>
      </c>
      <c r="AP1093" s="3">
        <v>0</v>
      </c>
      <c r="AR1093" s="2" t="s">
        <v>2395</v>
      </c>
    </row>
    <row r="1094" spans="1:44" ht="12.75" customHeight="1">
      <c r="A1094" s="5">
        <v>36313</v>
      </c>
      <c r="B1094" s="2" t="s">
        <v>239</v>
      </c>
      <c r="C1094" s="2" t="s">
        <v>183</v>
      </c>
      <c r="D1094" s="2" t="s">
        <v>258</v>
      </c>
      <c r="E1094" s="18">
        <v>1</v>
      </c>
      <c r="F1094" s="18">
        <v>0</v>
      </c>
      <c r="G1094" s="18">
        <v>4</v>
      </c>
      <c r="H1094" s="18">
        <v>0</v>
      </c>
      <c r="I1094" s="18">
        <v>2</v>
      </c>
      <c r="J1094" s="18">
        <v>0</v>
      </c>
      <c r="K1094" s="18">
        <v>2</v>
      </c>
      <c r="T1094" s="3">
        <f t="shared" si="10"/>
        <v>9</v>
      </c>
      <c r="U1094" s="3">
        <v>12</v>
      </c>
      <c r="V1094" s="3">
        <v>0</v>
      </c>
      <c r="X1094" s="2" t="s">
        <v>502</v>
      </c>
      <c r="Y1094" s="18">
        <v>1</v>
      </c>
      <c r="Z1094" s="18">
        <v>0</v>
      </c>
      <c r="AA1094" s="18">
        <v>1</v>
      </c>
      <c r="AB1094" s="18">
        <v>1</v>
      </c>
      <c r="AC1094" s="18">
        <v>2</v>
      </c>
      <c r="AD1094" s="18">
        <v>0</v>
      </c>
      <c r="AE1094" s="18">
        <v>0</v>
      </c>
      <c r="AN1094" s="3">
        <f t="shared" si="11"/>
        <v>5</v>
      </c>
      <c r="AO1094" s="3">
        <v>9</v>
      </c>
      <c r="AP1094" s="3">
        <v>0</v>
      </c>
      <c r="AR1094" s="2" t="s">
        <v>631</v>
      </c>
    </row>
    <row r="1095" spans="1:44" ht="12.75" customHeight="1">
      <c r="A1095" s="5">
        <v>36318</v>
      </c>
      <c r="B1095" s="2" t="s">
        <v>239</v>
      </c>
      <c r="C1095" s="2" t="s">
        <v>324</v>
      </c>
      <c r="D1095" s="2" t="s">
        <v>260</v>
      </c>
      <c r="E1095" s="18">
        <v>3</v>
      </c>
      <c r="F1095" s="18">
        <v>5</v>
      </c>
      <c r="G1095" s="18">
        <v>8</v>
      </c>
      <c r="H1095" s="18">
        <v>15</v>
      </c>
      <c r="I1095" s="18" t="s">
        <v>162</v>
      </c>
      <c r="T1095" s="3">
        <f t="shared" si="10"/>
        <v>31</v>
      </c>
      <c r="U1095" s="3">
        <v>23</v>
      </c>
      <c r="V1095" s="3">
        <v>2</v>
      </c>
      <c r="X1095" s="2" t="s">
        <v>500</v>
      </c>
      <c r="Y1095" s="18">
        <v>0</v>
      </c>
      <c r="Z1095" s="18">
        <v>0</v>
      </c>
      <c r="AA1095" s="18">
        <v>0</v>
      </c>
      <c r="AB1095" s="18">
        <v>0</v>
      </c>
      <c r="AC1095" s="18">
        <v>0</v>
      </c>
      <c r="AN1095" s="3">
        <f t="shared" si="11"/>
        <v>0</v>
      </c>
      <c r="AO1095" s="3">
        <v>3</v>
      </c>
      <c r="AP1095" s="3">
        <v>5</v>
      </c>
      <c r="AR1095" s="2" t="s">
        <v>2394</v>
      </c>
    </row>
    <row r="1096" spans="1:44" ht="12.75" customHeight="1">
      <c r="A1096" s="5">
        <v>36321</v>
      </c>
      <c r="B1096" s="2" t="s">
        <v>239</v>
      </c>
      <c r="C1096" s="2" t="s">
        <v>325</v>
      </c>
      <c r="D1096" s="2" t="s">
        <v>260</v>
      </c>
      <c r="E1096" s="18">
        <v>0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T1096" s="3">
        <f t="shared" si="10"/>
        <v>0</v>
      </c>
      <c r="U1096" s="3">
        <v>3</v>
      </c>
      <c r="V1096" s="3">
        <v>0</v>
      </c>
      <c r="X1096" s="2" t="s">
        <v>608</v>
      </c>
      <c r="Y1096" s="18">
        <v>0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  <c r="AE1096" s="18">
        <v>0</v>
      </c>
      <c r="AF1096" s="18">
        <v>1</v>
      </c>
      <c r="AN1096" s="3">
        <f t="shared" si="11"/>
        <v>1</v>
      </c>
      <c r="AO1096" s="3">
        <v>5</v>
      </c>
      <c r="AP1096" s="3">
        <v>1</v>
      </c>
      <c r="AR1096" s="2" t="s">
        <v>609</v>
      </c>
    </row>
    <row r="1097" ht="12.75" customHeight="1"/>
    <row r="1098" spans="1:45" ht="12.75" customHeight="1">
      <c r="A1098" s="4">
        <v>36609</v>
      </c>
      <c r="B1098" s="2" t="s">
        <v>152</v>
      </c>
      <c r="C1098" s="2" t="s">
        <v>1907</v>
      </c>
      <c r="E1098" s="18">
        <v>1</v>
      </c>
      <c r="F1098" s="18">
        <v>3</v>
      </c>
      <c r="G1098" s="18">
        <v>4</v>
      </c>
      <c r="H1098" s="18">
        <v>1</v>
      </c>
      <c r="I1098" s="18">
        <v>2</v>
      </c>
      <c r="J1098" s="18">
        <v>0</v>
      </c>
      <c r="T1098" s="3">
        <f aca="true" t="shared" si="12" ref="T1098:T1159">SUM(E1098:S1098)</f>
        <v>11</v>
      </c>
      <c r="U1098" s="3">
        <v>13</v>
      </c>
      <c r="V1098" s="3">
        <v>8</v>
      </c>
      <c r="X1098" s="2" t="s">
        <v>1908</v>
      </c>
      <c r="Y1098" s="18">
        <v>0</v>
      </c>
      <c r="Z1098" s="18">
        <v>4</v>
      </c>
      <c r="AA1098" s="18">
        <v>1</v>
      </c>
      <c r="AB1098" s="18">
        <v>0</v>
      </c>
      <c r="AC1098" s="18">
        <v>2</v>
      </c>
      <c r="AD1098" s="18">
        <v>1</v>
      </c>
      <c r="AN1098" s="3">
        <f aca="true" t="shared" si="13" ref="AN1098:AN1159">SUM(Y1098:AM1098)</f>
        <v>8</v>
      </c>
      <c r="AO1098" s="3">
        <v>5</v>
      </c>
      <c r="AP1098" s="3">
        <v>4</v>
      </c>
      <c r="AR1098" s="2" t="s">
        <v>1909</v>
      </c>
      <c r="AS1098" s="2" t="s">
        <v>1848</v>
      </c>
    </row>
    <row r="1099" spans="1:46" ht="12.75" customHeight="1">
      <c r="A1099" s="4">
        <v>36610</v>
      </c>
      <c r="B1099" s="2" t="s">
        <v>152</v>
      </c>
      <c r="C1099" s="2" t="s">
        <v>1910</v>
      </c>
      <c r="E1099" s="18">
        <v>0</v>
      </c>
      <c r="F1099" s="18">
        <v>1</v>
      </c>
      <c r="G1099" s="18">
        <v>4</v>
      </c>
      <c r="H1099" s="18">
        <v>0</v>
      </c>
      <c r="I1099" s="18">
        <v>1</v>
      </c>
      <c r="J1099" s="18">
        <v>4</v>
      </c>
      <c r="K1099" s="18">
        <v>0</v>
      </c>
      <c r="T1099" s="3">
        <f t="shared" si="12"/>
        <v>10</v>
      </c>
      <c r="U1099" s="3">
        <v>13</v>
      </c>
      <c r="V1099" s="3">
        <v>4</v>
      </c>
      <c r="X1099" s="2" t="s">
        <v>1911</v>
      </c>
      <c r="Y1099" s="18">
        <v>0</v>
      </c>
      <c r="Z1099" s="18">
        <v>5</v>
      </c>
      <c r="AA1099" s="18">
        <v>0</v>
      </c>
      <c r="AB1099" s="18">
        <v>0</v>
      </c>
      <c r="AC1099" s="18">
        <v>6</v>
      </c>
      <c r="AD1099" s="18">
        <v>0</v>
      </c>
      <c r="AN1099" s="3">
        <f t="shared" si="13"/>
        <v>11</v>
      </c>
      <c r="AO1099" s="3">
        <v>6</v>
      </c>
      <c r="AP1099" s="3">
        <v>6</v>
      </c>
      <c r="AR1099" s="2" t="s">
        <v>1912</v>
      </c>
      <c r="AS1099" s="2" t="s">
        <v>244</v>
      </c>
      <c r="AT1099" s="2">
        <v>10</v>
      </c>
    </row>
    <row r="1100" spans="1:44" ht="12.75" customHeight="1">
      <c r="A1100" s="4">
        <v>36615</v>
      </c>
      <c r="C1100" s="2" t="s">
        <v>191</v>
      </c>
      <c r="E1100" s="18">
        <v>0</v>
      </c>
      <c r="F1100" s="18">
        <v>0</v>
      </c>
      <c r="G1100" s="18">
        <v>0</v>
      </c>
      <c r="H1100" s="18">
        <v>0</v>
      </c>
      <c r="I1100" s="18">
        <v>0</v>
      </c>
      <c r="J1100" s="18">
        <v>0</v>
      </c>
      <c r="K1100" s="18">
        <v>4</v>
      </c>
      <c r="T1100" s="3">
        <f t="shared" si="12"/>
        <v>4</v>
      </c>
      <c r="U1100" s="3">
        <v>6</v>
      </c>
      <c r="V1100" s="3">
        <v>7</v>
      </c>
      <c r="X1100" s="2" t="s">
        <v>1913</v>
      </c>
      <c r="Y1100" s="18">
        <v>1</v>
      </c>
      <c r="Z1100" s="18">
        <v>1</v>
      </c>
      <c r="AA1100" s="18">
        <v>1</v>
      </c>
      <c r="AB1100" s="18">
        <v>0</v>
      </c>
      <c r="AC1100" s="18">
        <v>0</v>
      </c>
      <c r="AD1100" s="18">
        <v>1</v>
      </c>
      <c r="AE1100" s="18">
        <v>3</v>
      </c>
      <c r="AN1100" s="3">
        <f t="shared" si="13"/>
        <v>7</v>
      </c>
      <c r="AO1100" s="3">
        <v>9</v>
      </c>
      <c r="AP1100" s="3">
        <v>1</v>
      </c>
      <c r="AR1100" s="2" t="s">
        <v>1914</v>
      </c>
    </row>
    <row r="1101" spans="1:44" ht="12.75" customHeight="1">
      <c r="A1101" s="4">
        <v>36622</v>
      </c>
      <c r="C1101" s="2" t="s">
        <v>392</v>
      </c>
      <c r="E1101" s="18">
        <v>0</v>
      </c>
      <c r="F1101" s="18">
        <v>2</v>
      </c>
      <c r="G1101" s="18">
        <v>7</v>
      </c>
      <c r="H1101" s="18">
        <v>1</v>
      </c>
      <c r="I1101" s="18">
        <v>0</v>
      </c>
      <c r="T1101" s="3">
        <f t="shared" si="12"/>
        <v>10</v>
      </c>
      <c r="U1101" s="3">
        <v>11</v>
      </c>
      <c r="V1101" s="3">
        <v>4</v>
      </c>
      <c r="X1101" s="2" t="s">
        <v>1915</v>
      </c>
      <c r="Y1101" s="18">
        <v>2</v>
      </c>
      <c r="Z1101" s="18">
        <v>2</v>
      </c>
      <c r="AA1101" s="18">
        <v>2</v>
      </c>
      <c r="AB1101" s="18">
        <v>0</v>
      </c>
      <c r="AC1101" s="18">
        <v>15</v>
      </c>
      <c r="AN1101" s="3">
        <f t="shared" si="13"/>
        <v>21</v>
      </c>
      <c r="AO1101" s="3">
        <v>13</v>
      </c>
      <c r="AP1101" s="3">
        <v>1</v>
      </c>
      <c r="AR1101" s="2" t="s">
        <v>1916</v>
      </c>
    </row>
    <row r="1102" spans="1:44" ht="12.75" customHeight="1">
      <c r="A1102" s="4">
        <v>36623</v>
      </c>
      <c r="B1102" s="2" t="s">
        <v>152</v>
      </c>
      <c r="C1102" s="2" t="s">
        <v>290</v>
      </c>
      <c r="E1102" s="18">
        <v>0</v>
      </c>
      <c r="F1102" s="18">
        <v>0</v>
      </c>
      <c r="G1102" s="18">
        <v>0</v>
      </c>
      <c r="H1102" s="18">
        <v>1</v>
      </c>
      <c r="I1102" s="18">
        <v>0</v>
      </c>
      <c r="J1102" s="18">
        <v>0</v>
      </c>
      <c r="K1102" s="18">
        <v>0</v>
      </c>
      <c r="T1102" s="3">
        <f t="shared" si="12"/>
        <v>1</v>
      </c>
      <c r="U1102" s="3">
        <v>1</v>
      </c>
      <c r="V1102" s="3">
        <v>2</v>
      </c>
      <c r="X1102" s="2" t="s">
        <v>1908</v>
      </c>
      <c r="Y1102" s="18">
        <v>0</v>
      </c>
      <c r="Z1102" s="18">
        <v>0</v>
      </c>
      <c r="AA1102" s="18">
        <v>1</v>
      </c>
      <c r="AB1102" s="18">
        <v>0</v>
      </c>
      <c r="AC1102" s="18">
        <v>2</v>
      </c>
      <c r="AD1102" s="18">
        <v>3</v>
      </c>
      <c r="AE1102" s="18" t="s">
        <v>162</v>
      </c>
      <c r="AN1102" s="3">
        <f t="shared" si="13"/>
        <v>6</v>
      </c>
      <c r="AO1102" s="3">
        <v>8</v>
      </c>
      <c r="AP1102" s="3">
        <v>2</v>
      </c>
      <c r="AR1102" s="2" t="s">
        <v>1917</v>
      </c>
    </row>
    <row r="1103" spans="1:44" ht="12.75" customHeight="1">
      <c r="A1103" s="4">
        <v>36628</v>
      </c>
      <c r="B1103" s="2" t="s">
        <v>152</v>
      </c>
      <c r="C1103" s="2" t="s">
        <v>174</v>
      </c>
      <c r="E1103" s="18">
        <v>1</v>
      </c>
      <c r="F1103" s="18">
        <v>0</v>
      </c>
      <c r="G1103" s="18">
        <v>0</v>
      </c>
      <c r="H1103" s="18">
        <v>2</v>
      </c>
      <c r="I1103" s="18">
        <v>1</v>
      </c>
      <c r="J1103" s="18">
        <v>0</v>
      </c>
      <c r="K1103" s="18">
        <v>0</v>
      </c>
      <c r="T1103" s="3">
        <f t="shared" si="12"/>
        <v>4</v>
      </c>
      <c r="U1103" s="3">
        <v>7</v>
      </c>
      <c r="V1103" s="3">
        <v>4</v>
      </c>
      <c r="X1103" s="2" t="s">
        <v>82</v>
      </c>
      <c r="Y1103" s="18">
        <v>2</v>
      </c>
      <c r="Z1103" s="18">
        <v>0</v>
      </c>
      <c r="AA1103" s="18">
        <v>6</v>
      </c>
      <c r="AB1103" s="18">
        <v>0</v>
      </c>
      <c r="AC1103" s="18">
        <v>0</v>
      </c>
      <c r="AD1103" s="18">
        <v>1</v>
      </c>
      <c r="AE1103" s="18" t="s">
        <v>162</v>
      </c>
      <c r="AN1103" s="3">
        <f t="shared" si="13"/>
        <v>9</v>
      </c>
      <c r="AO1103" s="3">
        <v>3</v>
      </c>
      <c r="AP1103" s="3">
        <v>0</v>
      </c>
      <c r="AR1103" s="2" t="s">
        <v>1918</v>
      </c>
    </row>
    <row r="1104" spans="1:44" ht="12.75" customHeight="1">
      <c r="A1104" s="4">
        <v>36629</v>
      </c>
      <c r="C1104" s="2" t="s">
        <v>168</v>
      </c>
      <c r="E1104" s="18">
        <v>1</v>
      </c>
      <c r="F1104" s="18">
        <v>0</v>
      </c>
      <c r="G1104" s="18">
        <v>0</v>
      </c>
      <c r="H1104" s="18">
        <v>0</v>
      </c>
      <c r="I1104" s="18">
        <v>0</v>
      </c>
      <c r="J1104" s="18">
        <v>2</v>
      </c>
      <c r="K1104" s="18">
        <v>1</v>
      </c>
      <c r="T1104" s="3">
        <f t="shared" si="12"/>
        <v>4</v>
      </c>
      <c r="U1104" s="3">
        <v>10</v>
      </c>
      <c r="V1104" s="3">
        <v>3</v>
      </c>
      <c r="X1104" s="2" t="s">
        <v>1913</v>
      </c>
      <c r="Y1104" s="18">
        <v>0</v>
      </c>
      <c r="Z1104" s="18">
        <v>2</v>
      </c>
      <c r="AA1104" s="18">
        <v>0</v>
      </c>
      <c r="AB1104" s="18">
        <v>0</v>
      </c>
      <c r="AC1104" s="18">
        <v>0</v>
      </c>
      <c r="AD1104" s="18">
        <v>0</v>
      </c>
      <c r="AE1104" s="18">
        <v>1</v>
      </c>
      <c r="AN1104" s="3">
        <f t="shared" si="13"/>
        <v>3</v>
      </c>
      <c r="AO1104" s="3">
        <v>5</v>
      </c>
      <c r="AP1104" s="3">
        <v>2</v>
      </c>
      <c r="AR1104" s="2" t="s">
        <v>1919</v>
      </c>
    </row>
    <row r="1105" spans="1:44" ht="12.75" customHeight="1">
      <c r="A1105" s="4">
        <v>36631</v>
      </c>
      <c r="C1105" s="2" t="s">
        <v>183</v>
      </c>
      <c r="E1105" s="18">
        <v>2</v>
      </c>
      <c r="F1105" s="18">
        <v>5</v>
      </c>
      <c r="G1105" s="18">
        <v>2</v>
      </c>
      <c r="H1105" s="18">
        <v>3</v>
      </c>
      <c r="I1105" s="18" t="s">
        <v>162</v>
      </c>
      <c r="T1105" s="3">
        <f t="shared" si="12"/>
        <v>12</v>
      </c>
      <c r="U1105" s="3">
        <v>13</v>
      </c>
      <c r="V1105" s="3">
        <v>1</v>
      </c>
      <c r="X1105" s="2" t="s">
        <v>1920</v>
      </c>
      <c r="Y1105" s="18">
        <v>0</v>
      </c>
      <c r="Z1105" s="18">
        <v>0</v>
      </c>
      <c r="AA1105" s="18">
        <v>1</v>
      </c>
      <c r="AB1105" s="18">
        <v>0</v>
      </c>
      <c r="AC1105" s="18">
        <v>0</v>
      </c>
      <c r="AN1105" s="3">
        <f t="shared" si="13"/>
        <v>1</v>
      </c>
      <c r="AO1105" s="3">
        <v>4</v>
      </c>
      <c r="AP1105" s="3">
        <v>3</v>
      </c>
      <c r="AR1105" s="2" t="s">
        <v>1921</v>
      </c>
    </row>
    <row r="1106" spans="1:44" ht="12.75" customHeight="1">
      <c r="A1106" s="4">
        <v>36635</v>
      </c>
      <c r="B1106" s="2" t="s">
        <v>152</v>
      </c>
      <c r="C1106" s="2" t="s">
        <v>137</v>
      </c>
      <c r="E1106" s="18">
        <v>0</v>
      </c>
      <c r="F1106" s="18">
        <v>0</v>
      </c>
      <c r="G1106" s="18">
        <v>0</v>
      </c>
      <c r="H1106" s="18">
        <v>1</v>
      </c>
      <c r="I1106" s="18">
        <v>3</v>
      </c>
      <c r="J1106" s="18">
        <v>0</v>
      </c>
      <c r="K1106" s="18">
        <v>1</v>
      </c>
      <c r="T1106" s="3">
        <f t="shared" si="12"/>
        <v>5</v>
      </c>
      <c r="U1106" s="3">
        <v>10</v>
      </c>
      <c r="V1106" s="3">
        <v>4</v>
      </c>
      <c r="X1106" s="2" t="s">
        <v>1913</v>
      </c>
      <c r="Y1106" s="18">
        <v>2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N1106" s="3">
        <f t="shared" si="13"/>
        <v>2</v>
      </c>
      <c r="AO1106" s="3">
        <v>7</v>
      </c>
      <c r="AP1106" s="3">
        <v>1</v>
      </c>
      <c r="AR1106" s="2" t="s">
        <v>19</v>
      </c>
    </row>
    <row r="1107" spans="1:44" ht="12.75" customHeight="1">
      <c r="A1107" s="4">
        <v>36636</v>
      </c>
      <c r="C1107" s="2" t="s">
        <v>379</v>
      </c>
      <c r="E1107" s="18">
        <v>0</v>
      </c>
      <c r="F1107" s="18">
        <v>2</v>
      </c>
      <c r="G1107" s="18">
        <v>0</v>
      </c>
      <c r="H1107" s="18">
        <v>0</v>
      </c>
      <c r="I1107" s="18">
        <v>4</v>
      </c>
      <c r="J1107" s="18">
        <v>3</v>
      </c>
      <c r="T1107" s="3">
        <f t="shared" si="12"/>
        <v>9</v>
      </c>
      <c r="U1107" s="3">
        <v>15</v>
      </c>
      <c r="V1107" s="3">
        <v>3</v>
      </c>
      <c r="X1107" s="2" t="s">
        <v>20</v>
      </c>
      <c r="Y1107" s="18">
        <v>3</v>
      </c>
      <c r="Z1107" s="18">
        <v>0</v>
      </c>
      <c r="AA1107" s="18">
        <v>0</v>
      </c>
      <c r="AB1107" s="18">
        <v>0</v>
      </c>
      <c r="AC1107" s="18">
        <v>0</v>
      </c>
      <c r="AD1107" s="18">
        <v>1</v>
      </c>
      <c r="AE1107" s="18">
        <v>1</v>
      </c>
      <c r="AN1107" s="3">
        <f t="shared" si="13"/>
        <v>5</v>
      </c>
      <c r="AO1107" s="3">
        <v>10</v>
      </c>
      <c r="AP1107" s="3">
        <v>3</v>
      </c>
      <c r="AR1107" s="2" t="s">
        <v>21</v>
      </c>
    </row>
    <row r="1108" spans="1:44" ht="12.75" customHeight="1">
      <c r="A1108" s="4">
        <v>36641</v>
      </c>
      <c r="B1108" s="2" t="s">
        <v>152</v>
      </c>
      <c r="C1108" s="2" t="s">
        <v>305</v>
      </c>
      <c r="E1108" s="18">
        <v>0</v>
      </c>
      <c r="F1108" s="18">
        <v>0</v>
      </c>
      <c r="G1108" s="18">
        <v>0</v>
      </c>
      <c r="H1108" s="18">
        <v>3</v>
      </c>
      <c r="I1108" s="18">
        <v>1</v>
      </c>
      <c r="J1108" s="18">
        <v>0</v>
      </c>
      <c r="K1108" s="18">
        <v>0</v>
      </c>
      <c r="T1108" s="3">
        <f t="shared" si="12"/>
        <v>4</v>
      </c>
      <c r="U1108" s="3">
        <v>5</v>
      </c>
      <c r="V1108" s="3">
        <v>5</v>
      </c>
      <c r="X1108" s="2" t="s">
        <v>22</v>
      </c>
      <c r="Y1108" s="18">
        <v>1</v>
      </c>
      <c r="Z1108" s="18">
        <v>2</v>
      </c>
      <c r="AA1108" s="18">
        <v>2</v>
      </c>
      <c r="AB1108" s="18">
        <v>0</v>
      </c>
      <c r="AC1108" s="18">
        <v>3</v>
      </c>
      <c r="AD1108" s="18">
        <v>2</v>
      </c>
      <c r="AE1108" s="18" t="s">
        <v>162</v>
      </c>
      <c r="AN1108" s="3">
        <f t="shared" si="13"/>
        <v>10</v>
      </c>
      <c r="AO1108" s="3">
        <v>6</v>
      </c>
      <c r="AP1108" s="3">
        <v>0</v>
      </c>
      <c r="AR1108" s="2" t="s">
        <v>23</v>
      </c>
    </row>
    <row r="1109" spans="1:44" ht="12.75" customHeight="1">
      <c r="A1109" s="4">
        <v>36643</v>
      </c>
      <c r="C1109" s="2" t="s">
        <v>254</v>
      </c>
      <c r="E1109" s="18">
        <v>1</v>
      </c>
      <c r="F1109" s="18">
        <v>0</v>
      </c>
      <c r="G1109" s="18">
        <v>0</v>
      </c>
      <c r="H1109" s="18">
        <v>3</v>
      </c>
      <c r="I1109" s="18">
        <v>0</v>
      </c>
      <c r="J1109" s="18">
        <v>0</v>
      </c>
      <c r="K1109" s="18">
        <v>0</v>
      </c>
      <c r="T1109" s="3">
        <f t="shared" si="12"/>
        <v>4</v>
      </c>
      <c r="U1109" s="3">
        <v>6</v>
      </c>
      <c r="V1109" s="3">
        <v>2</v>
      </c>
      <c r="X1109" s="2" t="s">
        <v>24</v>
      </c>
      <c r="Y1109" s="18">
        <v>1</v>
      </c>
      <c r="Z1109" s="18">
        <v>0</v>
      </c>
      <c r="AA1109" s="18">
        <v>7</v>
      </c>
      <c r="AB1109" s="18">
        <v>1</v>
      </c>
      <c r="AC1109" s="18">
        <v>1</v>
      </c>
      <c r="AD1109" s="18">
        <v>2</v>
      </c>
      <c r="AE1109" s="18">
        <v>0</v>
      </c>
      <c r="AN1109" s="3">
        <f t="shared" si="13"/>
        <v>12</v>
      </c>
      <c r="AO1109" s="3">
        <v>11</v>
      </c>
      <c r="AP1109" s="3">
        <v>0</v>
      </c>
      <c r="AR1109" s="2" t="s">
        <v>2393</v>
      </c>
    </row>
    <row r="1110" spans="1:44" ht="12.75" customHeight="1">
      <c r="A1110" s="4">
        <v>36645</v>
      </c>
      <c r="B1110" s="2" t="s">
        <v>152</v>
      </c>
      <c r="C1110" s="2" t="s">
        <v>1906</v>
      </c>
      <c r="E1110" s="18">
        <v>2</v>
      </c>
      <c r="F1110" s="18">
        <v>1</v>
      </c>
      <c r="G1110" s="18">
        <v>2</v>
      </c>
      <c r="H1110" s="18">
        <v>6</v>
      </c>
      <c r="I1110" s="18">
        <v>1</v>
      </c>
      <c r="T1110" s="3">
        <f t="shared" si="12"/>
        <v>12</v>
      </c>
      <c r="U1110" s="3">
        <v>15</v>
      </c>
      <c r="V1110" s="3">
        <v>2</v>
      </c>
      <c r="X1110" s="2" t="s">
        <v>1920</v>
      </c>
      <c r="Y1110" s="18">
        <v>0</v>
      </c>
      <c r="Z1110" s="18">
        <v>0</v>
      </c>
      <c r="AA1110" s="18">
        <v>0</v>
      </c>
      <c r="AB1110" s="18">
        <v>0</v>
      </c>
      <c r="AC1110" s="18">
        <v>0</v>
      </c>
      <c r="AN1110" s="3">
        <f t="shared" si="13"/>
        <v>0</v>
      </c>
      <c r="AO1110" s="3">
        <v>0</v>
      </c>
      <c r="AP1110" s="3">
        <v>2</v>
      </c>
      <c r="AR1110" s="2" t="s">
        <v>81</v>
      </c>
    </row>
    <row r="1111" spans="1:44" ht="12.75" customHeight="1">
      <c r="A1111" s="4">
        <v>36648</v>
      </c>
      <c r="C1111" s="2" t="s">
        <v>175</v>
      </c>
      <c r="E1111" s="18">
        <v>0</v>
      </c>
      <c r="F1111" s="18">
        <v>1</v>
      </c>
      <c r="G1111" s="18">
        <v>2</v>
      </c>
      <c r="H1111" s="18">
        <v>0</v>
      </c>
      <c r="I1111" s="18">
        <v>0</v>
      </c>
      <c r="J1111" s="18">
        <v>0</v>
      </c>
      <c r="K1111" s="18">
        <v>0</v>
      </c>
      <c r="T1111" s="3">
        <f t="shared" si="12"/>
        <v>3</v>
      </c>
      <c r="U1111" s="3">
        <v>9</v>
      </c>
      <c r="V1111" s="3">
        <v>3</v>
      </c>
      <c r="X1111" s="2" t="s">
        <v>82</v>
      </c>
      <c r="Y1111" s="18">
        <v>2</v>
      </c>
      <c r="Z1111" s="18">
        <v>0</v>
      </c>
      <c r="AA1111" s="18">
        <v>4</v>
      </c>
      <c r="AB1111" s="18">
        <v>2</v>
      </c>
      <c r="AC1111" s="18">
        <v>0</v>
      </c>
      <c r="AD1111" s="18">
        <v>2</v>
      </c>
      <c r="AE1111" s="18">
        <v>0</v>
      </c>
      <c r="AN1111" s="3">
        <f t="shared" si="13"/>
        <v>10</v>
      </c>
      <c r="AO1111" s="3">
        <v>12</v>
      </c>
      <c r="AP1111" s="3">
        <v>3</v>
      </c>
      <c r="AR1111" s="2" t="s">
        <v>83</v>
      </c>
    </row>
    <row r="1112" spans="1:44" ht="12.75" customHeight="1">
      <c r="A1112" s="4">
        <v>36650</v>
      </c>
      <c r="B1112" s="2" t="s">
        <v>152</v>
      </c>
      <c r="C1112" s="2" t="s">
        <v>374</v>
      </c>
      <c r="E1112" s="18">
        <v>1</v>
      </c>
      <c r="F1112" s="18">
        <v>1</v>
      </c>
      <c r="G1112" s="18">
        <v>1</v>
      </c>
      <c r="H1112" s="18">
        <v>3</v>
      </c>
      <c r="I1112" s="18">
        <v>0</v>
      </c>
      <c r="J1112" s="18">
        <v>1</v>
      </c>
      <c r="K1112" s="18">
        <v>1</v>
      </c>
      <c r="T1112" s="3">
        <f t="shared" si="12"/>
        <v>8</v>
      </c>
      <c r="U1112" s="3">
        <v>9</v>
      </c>
      <c r="V1112" s="3">
        <v>1</v>
      </c>
      <c r="X1112" s="2" t="s">
        <v>20</v>
      </c>
      <c r="Y1112" s="18">
        <v>0</v>
      </c>
      <c r="Z1112" s="18">
        <v>0</v>
      </c>
      <c r="AA1112" s="18">
        <v>1</v>
      </c>
      <c r="AB1112" s="18">
        <v>3</v>
      </c>
      <c r="AC1112" s="18">
        <v>0</v>
      </c>
      <c r="AD1112" s="18">
        <v>0</v>
      </c>
      <c r="AE1112" s="18">
        <v>0</v>
      </c>
      <c r="AN1112" s="3">
        <f t="shared" si="13"/>
        <v>4</v>
      </c>
      <c r="AO1112" s="3">
        <v>5</v>
      </c>
      <c r="AP1112" s="3">
        <v>3</v>
      </c>
      <c r="AR1112" s="2" t="s">
        <v>84</v>
      </c>
    </row>
    <row r="1113" spans="1:44" ht="12.75" customHeight="1">
      <c r="A1113" s="4">
        <v>36652</v>
      </c>
      <c r="B1113" s="2" t="s">
        <v>152</v>
      </c>
      <c r="C1113" s="2" t="s">
        <v>169</v>
      </c>
      <c r="E1113" s="18">
        <v>0</v>
      </c>
      <c r="F1113" s="18">
        <v>0</v>
      </c>
      <c r="G1113" s="18">
        <v>1</v>
      </c>
      <c r="H1113" s="18">
        <v>0</v>
      </c>
      <c r="I1113" s="18">
        <v>6</v>
      </c>
      <c r="J1113" s="18">
        <v>0</v>
      </c>
      <c r="K1113" s="18">
        <v>0</v>
      </c>
      <c r="L1113" s="18">
        <v>4</v>
      </c>
      <c r="T1113" s="3">
        <f t="shared" si="12"/>
        <v>11</v>
      </c>
      <c r="U1113" s="3">
        <v>12</v>
      </c>
      <c r="V1113" s="3">
        <v>3</v>
      </c>
      <c r="X1113" s="2" t="s">
        <v>85</v>
      </c>
      <c r="Y1113" s="18">
        <v>2</v>
      </c>
      <c r="Z1113" s="18">
        <v>0</v>
      </c>
      <c r="AA1113" s="18">
        <v>0</v>
      </c>
      <c r="AB1113" s="18">
        <v>1</v>
      </c>
      <c r="AC1113" s="18">
        <v>1</v>
      </c>
      <c r="AD1113" s="18">
        <v>1</v>
      </c>
      <c r="AE1113" s="18">
        <v>2</v>
      </c>
      <c r="AF1113" s="18">
        <v>1</v>
      </c>
      <c r="AN1113" s="3">
        <f t="shared" si="13"/>
        <v>8</v>
      </c>
      <c r="AO1113" s="3">
        <v>12</v>
      </c>
      <c r="AP1113" s="3">
        <v>3</v>
      </c>
      <c r="AR1113" s="2" t="s">
        <v>86</v>
      </c>
    </row>
    <row r="1114" spans="1:44" ht="12.75" customHeight="1">
      <c r="A1114" s="4">
        <v>36655</v>
      </c>
      <c r="C1114" s="2" t="s">
        <v>2213</v>
      </c>
      <c r="E1114" s="18">
        <v>3</v>
      </c>
      <c r="F1114" s="18">
        <v>0</v>
      </c>
      <c r="G1114" s="18">
        <v>0</v>
      </c>
      <c r="H1114" s="18">
        <v>9</v>
      </c>
      <c r="I1114" s="18">
        <v>0</v>
      </c>
      <c r="J1114" s="18">
        <v>1</v>
      </c>
      <c r="K1114" s="18" t="s">
        <v>162</v>
      </c>
      <c r="T1114" s="3">
        <f t="shared" si="12"/>
        <v>13</v>
      </c>
      <c r="U1114" s="3">
        <v>13</v>
      </c>
      <c r="V1114" s="3">
        <v>7</v>
      </c>
      <c r="X1114" s="2" t="s">
        <v>87</v>
      </c>
      <c r="Y1114" s="18">
        <v>2</v>
      </c>
      <c r="Z1114" s="18">
        <v>0</v>
      </c>
      <c r="AA1114" s="18">
        <v>0</v>
      </c>
      <c r="AB1114" s="18">
        <v>3</v>
      </c>
      <c r="AC1114" s="18">
        <v>0</v>
      </c>
      <c r="AD1114" s="18">
        <v>6</v>
      </c>
      <c r="AE1114" s="18">
        <v>1</v>
      </c>
      <c r="AN1114" s="3">
        <f t="shared" si="13"/>
        <v>12</v>
      </c>
      <c r="AO1114" s="3">
        <v>9</v>
      </c>
      <c r="AP1114" s="3">
        <v>3</v>
      </c>
      <c r="AR1114" s="2" t="s">
        <v>88</v>
      </c>
    </row>
    <row r="1115" spans="1:44" ht="12.75" customHeight="1">
      <c r="A1115" s="4">
        <v>36657</v>
      </c>
      <c r="B1115" s="2" t="s">
        <v>152</v>
      </c>
      <c r="C1115" s="2" t="s">
        <v>236</v>
      </c>
      <c r="E1115" s="18">
        <v>0</v>
      </c>
      <c r="F1115" s="18">
        <v>0</v>
      </c>
      <c r="G1115" s="18">
        <v>0</v>
      </c>
      <c r="H1115" s="18">
        <v>0</v>
      </c>
      <c r="I1115" s="18">
        <v>0</v>
      </c>
      <c r="J1115" s="18">
        <v>0</v>
      </c>
      <c r="K1115" s="18">
        <v>0</v>
      </c>
      <c r="L1115" s="18">
        <v>0</v>
      </c>
      <c r="T1115" s="3">
        <f t="shared" si="12"/>
        <v>0</v>
      </c>
      <c r="U1115" s="3">
        <v>5</v>
      </c>
      <c r="V1115" s="3">
        <v>0</v>
      </c>
      <c r="X1115" s="2" t="s">
        <v>89</v>
      </c>
      <c r="Y1115" s="18">
        <v>0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1</v>
      </c>
      <c r="AN1115" s="3">
        <f t="shared" si="13"/>
        <v>1</v>
      </c>
      <c r="AO1115" s="3">
        <v>5</v>
      </c>
      <c r="AP1115" s="3">
        <v>3</v>
      </c>
      <c r="AR1115" s="2" t="s">
        <v>90</v>
      </c>
    </row>
    <row r="1116" spans="1:44" ht="12.75" customHeight="1">
      <c r="A1116" s="4">
        <v>36663</v>
      </c>
      <c r="C1116" s="2" t="s">
        <v>192</v>
      </c>
      <c r="E1116" s="18">
        <v>1</v>
      </c>
      <c r="F1116" s="18">
        <v>0</v>
      </c>
      <c r="G1116" s="18">
        <v>0</v>
      </c>
      <c r="H1116" s="18">
        <v>0</v>
      </c>
      <c r="I1116" s="18">
        <v>0</v>
      </c>
      <c r="J1116" s="18">
        <v>0</v>
      </c>
      <c r="K1116" s="18" t="s">
        <v>162</v>
      </c>
      <c r="T1116" s="3">
        <f t="shared" si="12"/>
        <v>1</v>
      </c>
      <c r="U1116" s="3">
        <v>3</v>
      </c>
      <c r="V1116" s="3">
        <v>2</v>
      </c>
      <c r="X1116" s="2" t="s">
        <v>20</v>
      </c>
      <c r="Y1116" s="18"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N1116" s="3">
        <f t="shared" si="13"/>
        <v>0</v>
      </c>
      <c r="AO1116" s="3">
        <v>1</v>
      </c>
      <c r="AP1116" s="3">
        <v>1</v>
      </c>
      <c r="AR1116" s="2" t="s">
        <v>91</v>
      </c>
    </row>
    <row r="1117" spans="1:44" ht="12.75" customHeight="1">
      <c r="A1117" s="4">
        <v>36671</v>
      </c>
      <c r="C1117" s="2" t="s">
        <v>183</v>
      </c>
      <c r="D1117" s="2" t="s">
        <v>258</v>
      </c>
      <c r="E1117" s="18">
        <v>0</v>
      </c>
      <c r="F1117" s="18">
        <v>0</v>
      </c>
      <c r="G1117" s="18">
        <v>1</v>
      </c>
      <c r="H1117" s="18">
        <v>0</v>
      </c>
      <c r="I1117" s="18">
        <v>0</v>
      </c>
      <c r="J1117" s="18">
        <v>3</v>
      </c>
      <c r="K1117" s="18">
        <v>0</v>
      </c>
      <c r="T1117" s="3">
        <f t="shared" si="12"/>
        <v>4</v>
      </c>
      <c r="U1117" s="3">
        <v>6</v>
      </c>
      <c r="V1117" s="3">
        <v>3</v>
      </c>
      <c r="X1117" s="2" t="s">
        <v>24</v>
      </c>
      <c r="Y1117" s="18">
        <v>1</v>
      </c>
      <c r="Z1117" s="18">
        <v>0</v>
      </c>
      <c r="AA1117" s="18">
        <v>5</v>
      </c>
      <c r="AB1117" s="18">
        <v>0</v>
      </c>
      <c r="AC1117" s="18">
        <v>0</v>
      </c>
      <c r="AD1117" s="18">
        <v>0</v>
      </c>
      <c r="AE1117" s="18">
        <v>0</v>
      </c>
      <c r="AN1117" s="3">
        <f t="shared" si="13"/>
        <v>6</v>
      </c>
      <c r="AO1117" s="3">
        <v>7</v>
      </c>
      <c r="AP1117" s="3">
        <v>2</v>
      </c>
      <c r="AR1117" s="2" t="s">
        <v>2392</v>
      </c>
    </row>
    <row r="1118" ht="12.75" customHeight="1"/>
    <row r="1119" spans="1:45" ht="12.75" customHeight="1">
      <c r="A1119" s="5">
        <v>36974</v>
      </c>
      <c r="B1119" s="2" t="s">
        <v>152</v>
      </c>
      <c r="C1119" s="2" t="s">
        <v>1907</v>
      </c>
      <c r="E1119" s="18">
        <v>2</v>
      </c>
      <c r="F1119" s="18">
        <v>3</v>
      </c>
      <c r="G1119" s="18">
        <v>0</v>
      </c>
      <c r="H1119" s="18">
        <v>0</v>
      </c>
      <c r="I1119" s="18">
        <v>1</v>
      </c>
      <c r="J1119" s="18">
        <v>1</v>
      </c>
      <c r="K1119" s="18">
        <v>1</v>
      </c>
      <c r="T1119" s="3">
        <f t="shared" si="12"/>
        <v>8</v>
      </c>
      <c r="U1119" s="3">
        <v>7</v>
      </c>
      <c r="V1119" s="3">
        <v>3</v>
      </c>
      <c r="X1119" s="2" t="s">
        <v>92</v>
      </c>
      <c r="Y1119" s="18">
        <v>4</v>
      </c>
      <c r="Z1119" s="18">
        <v>0</v>
      </c>
      <c r="AA1119" s="18">
        <v>1</v>
      </c>
      <c r="AB1119" s="18">
        <v>3</v>
      </c>
      <c r="AC1119" s="18">
        <v>1</v>
      </c>
      <c r="AD1119" s="18">
        <v>0</v>
      </c>
      <c r="AE1119" s="18" t="s">
        <v>162</v>
      </c>
      <c r="AN1119" s="3">
        <f t="shared" si="13"/>
        <v>9</v>
      </c>
      <c r="AO1119" s="3">
        <v>9</v>
      </c>
      <c r="AP1119" s="3">
        <v>3</v>
      </c>
      <c r="AR1119" s="2" t="s">
        <v>95</v>
      </c>
      <c r="AS1119" s="2" t="s">
        <v>1848</v>
      </c>
    </row>
    <row r="1120" spans="1:46" ht="12.75" customHeight="1">
      <c r="A1120" s="5">
        <v>36984</v>
      </c>
      <c r="B1120" s="2" t="s">
        <v>152</v>
      </c>
      <c r="C1120" s="2" t="s">
        <v>392</v>
      </c>
      <c r="E1120" s="18">
        <v>0</v>
      </c>
      <c r="F1120" s="18">
        <v>3</v>
      </c>
      <c r="G1120" s="18">
        <v>2</v>
      </c>
      <c r="H1120" s="18">
        <v>7</v>
      </c>
      <c r="I1120" s="18">
        <v>2</v>
      </c>
      <c r="T1120" s="3">
        <f t="shared" si="12"/>
        <v>14</v>
      </c>
      <c r="U1120" s="3">
        <v>9</v>
      </c>
      <c r="V1120" s="3">
        <v>2</v>
      </c>
      <c r="X1120" s="2" t="s">
        <v>1920</v>
      </c>
      <c r="Y1120" s="18">
        <v>0</v>
      </c>
      <c r="Z1120" s="18">
        <v>0</v>
      </c>
      <c r="AA1120" s="18">
        <v>0</v>
      </c>
      <c r="AB1120" s="18">
        <v>0</v>
      </c>
      <c r="AC1120" s="18">
        <v>3</v>
      </c>
      <c r="AN1120" s="3">
        <f t="shared" si="13"/>
        <v>3</v>
      </c>
      <c r="AO1120" s="3">
        <v>3</v>
      </c>
      <c r="AP1120" s="3">
        <v>5</v>
      </c>
      <c r="AR1120" s="2" t="s">
        <v>96</v>
      </c>
      <c r="AS1120" s="2" t="s">
        <v>244</v>
      </c>
      <c r="AT1120" s="2">
        <v>10</v>
      </c>
    </row>
    <row r="1121" spans="1:44" ht="12.75" customHeight="1">
      <c r="A1121" s="5">
        <v>36985</v>
      </c>
      <c r="C1121" s="2" t="s">
        <v>290</v>
      </c>
      <c r="E1121" s="18">
        <v>7</v>
      </c>
      <c r="F1121" s="18">
        <v>0</v>
      </c>
      <c r="G1121" s="18">
        <v>0</v>
      </c>
      <c r="H1121" s="18">
        <v>4</v>
      </c>
      <c r="I1121" s="18" t="s">
        <v>162</v>
      </c>
      <c r="T1121" s="3">
        <f t="shared" si="12"/>
        <v>11</v>
      </c>
      <c r="U1121" s="3">
        <v>10</v>
      </c>
      <c r="V1121" s="3">
        <v>5</v>
      </c>
      <c r="X1121" s="2" t="s">
        <v>97</v>
      </c>
      <c r="Y1121" s="18">
        <v>1</v>
      </c>
      <c r="Z1121" s="18">
        <v>0</v>
      </c>
      <c r="AA1121" s="18">
        <v>0</v>
      </c>
      <c r="AB1121" s="18">
        <v>0</v>
      </c>
      <c r="AC1121" s="18">
        <v>0</v>
      </c>
      <c r="AN1121" s="3">
        <f t="shared" si="13"/>
        <v>1</v>
      </c>
      <c r="AO1121" s="3">
        <v>1</v>
      </c>
      <c r="AP1121" s="3">
        <v>2</v>
      </c>
      <c r="AR1121" s="2" t="s">
        <v>98</v>
      </c>
    </row>
    <row r="1122" spans="1:44" ht="12.75" customHeight="1">
      <c r="A1122" s="5">
        <v>36986</v>
      </c>
      <c r="C1122" s="2" t="s">
        <v>174</v>
      </c>
      <c r="E1122" s="18">
        <v>1</v>
      </c>
      <c r="F1122" s="18">
        <v>1</v>
      </c>
      <c r="G1122" s="18">
        <v>0</v>
      </c>
      <c r="H1122" s="18">
        <v>0</v>
      </c>
      <c r="I1122" s="18">
        <v>5</v>
      </c>
      <c r="J1122" s="18">
        <v>1</v>
      </c>
      <c r="K1122" s="18" t="s">
        <v>162</v>
      </c>
      <c r="T1122" s="3">
        <f t="shared" si="12"/>
        <v>8</v>
      </c>
      <c r="U1122" s="3">
        <v>8</v>
      </c>
      <c r="V1122" s="3">
        <v>2</v>
      </c>
      <c r="X1122" s="2" t="s">
        <v>99</v>
      </c>
      <c r="Y1122" s="18">
        <v>0</v>
      </c>
      <c r="Z1122" s="18">
        <v>0</v>
      </c>
      <c r="AA1122" s="18">
        <v>2</v>
      </c>
      <c r="AB1122" s="18">
        <v>2</v>
      </c>
      <c r="AC1122" s="18">
        <v>0</v>
      </c>
      <c r="AD1122" s="18">
        <v>0</v>
      </c>
      <c r="AE1122" s="18">
        <v>0</v>
      </c>
      <c r="AN1122" s="3">
        <f t="shared" si="13"/>
        <v>4</v>
      </c>
      <c r="AO1122" s="3">
        <v>4</v>
      </c>
      <c r="AP1122" s="3">
        <v>3</v>
      </c>
      <c r="AR1122" s="2" t="s">
        <v>100</v>
      </c>
    </row>
    <row r="1123" spans="1:44" ht="12.75" customHeight="1">
      <c r="A1123" s="5">
        <v>36993</v>
      </c>
      <c r="C1123" s="2" t="s">
        <v>137</v>
      </c>
      <c r="E1123" s="18">
        <v>0</v>
      </c>
      <c r="F1123" s="18">
        <v>0</v>
      </c>
      <c r="G1123" s="18">
        <v>0</v>
      </c>
      <c r="H1123" s="18">
        <v>5</v>
      </c>
      <c r="I1123" s="18">
        <v>2</v>
      </c>
      <c r="J1123" s="18">
        <v>5</v>
      </c>
      <c r="T1123" s="3">
        <f t="shared" si="12"/>
        <v>12</v>
      </c>
      <c r="U1123" s="3">
        <v>12</v>
      </c>
      <c r="V1123" s="3">
        <v>3</v>
      </c>
      <c r="X1123" s="2" t="s">
        <v>101</v>
      </c>
      <c r="Y1123" s="18">
        <v>0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  <c r="AN1123" s="3">
        <f t="shared" si="13"/>
        <v>0</v>
      </c>
      <c r="AO1123" s="3">
        <v>2</v>
      </c>
      <c r="AP1123" s="3">
        <v>2</v>
      </c>
      <c r="AR1123" s="2" t="s">
        <v>102</v>
      </c>
    </row>
    <row r="1124" spans="1:44" ht="12.75" customHeight="1">
      <c r="A1124" s="5">
        <v>36995</v>
      </c>
      <c r="B1124" s="2" t="s">
        <v>152</v>
      </c>
      <c r="C1124" s="2" t="s">
        <v>183</v>
      </c>
      <c r="E1124" s="18">
        <v>0</v>
      </c>
      <c r="F1124" s="18">
        <v>4</v>
      </c>
      <c r="G1124" s="18">
        <v>1</v>
      </c>
      <c r="H1124" s="18">
        <v>3</v>
      </c>
      <c r="I1124" s="18">
        <v>4</v>
      </c>
      <c r="J1124" s="18">
        <v>1</v>
      </c>
      <c r="K1124" s="18">
        <v>4</v>
      </c>
      <c r="T1124" s="3">
        <f t="shared" si="12"/>
        <v>17</v>
      </c>
      <c r="U1124" s="3">
        <v>13</v>
      </c>
      <c r="V1124" s="3">
        <v>6</v>
      </c>
      <c r="X1124" s="2" t="s">
        <v>103</v>
      </c>
      <c r="Y1124" s="18">
        <v>1</v>
      </c>
      <c r="Z1124" s="18">
        <v>2</v>
      </c>
      <c r="AA1124" s="18">
        <v>1</v>
      </c>
      <c r="AB1124" s="18">
        <v>1</v>
      </c>
      <c r="AC1124" s="18">
        <v>0</v>
      </c>
      <c r="AD1124" s="18">
        <v>0</v>
      </c>
      <c r="AE1124" s="18">
        <v>3</v>
      </c>
      <c r="AN1124" s="3">
        <f t="shared" si="13"/>
        <v>8</v>
      </c>
      <c r="AO1124" s="3">
        <v>9</v>
      </c>
      <c r="AP1124" s="3">
        <v>3</v>
      </c>
      <c r="AR1124" s="2" t="s">
        <v>104</v>
      </c>
    </row>
    <row r="1125" spans="1:44" ht="12.75" customHeight="1">
      <c r="A1125" s="5">
        <v>36999</v>
      </c>
      <c r="B1125" s="2" t="s">
        <v>152</v>
      </c>
      <c r="C1125" s="2" t="s">
        <v>168</v>
      </c>
      <c r="E1125" s="18">
        <v>0</v>
      </c>
      <c r="F1125" s="18">
        <v>0</v>
      </c>
      <c r="G1125" s="18">
        <v>0</v>
      </c>
      <c r="H1125" s="18">
        <v>0</v>
      </c>
      <c r="I1125" s="18">
        <v>0</v>
      </c>
      <c r="J1125" s="18">
        <v>3</v>
      </c>
      <c r="K1125" s="18">
        <v>0</v>
      </c>
      <c r="T1125" s="3">
        <f t="shared" si="12"/>
        <v>3</v>
      </c>
      <c r="U1125" s="3">
        <v>6</v>
      </c>
      <c r="V1125" s="3">
        <v>0</v>
      </c>
      <c r="X1125" s="2" t="s">
        <v>101</v>
      </c>
      <c r="Y1125" s="18">
        <v>0</v>
      </c>
      <c r="Z1125" s="18">
        <v>0</v>
      </c>
      <c r="AA1125" s="18">
        <v>0</v>
      </c>
      <c r="AB1125" s="18">
        <v>2</v>
      </c>
      <c r="AC1125" s="18">
        <v>0</v>
      </c>
      <c r="AD1125" s="18">
        <v>0</v>
      </c>
      <c r="AE1125" s="18">
        <v>2</v>
      </c>
      <c r="AN1125" s="3">
        <f t="shared" si="13"/>
        <v>4</v>
      </c>
      <c r="AO1125" s="3">
        <v>4</v>
      </c>
      <c r="AP1125" s="3">
        <v>2</v>
      </c>
      <c r="AR1125" s="2" t="s">
        <v>1919</v>
      </c>
    </row>
    <row r="1126" spans="1:44" ht="12.75" customHeight="1">
      <c r="A1126" s="5">
        <v>37000</v>
      </c>
      <c r="C1126" s="2" t="s">
        <v>305</v>
      </c>
      <c r="E1126" s="18">
        <v>3</v>
      </c>
      <c r="F1126" s="18">
        <v>4</v>
      </c>
      <c r="G1126" s="18">
        <v>4</v>
      </c>
      <c r="H1126" s="18">
        <v>1</v>
      </c>
      <c r="I1126" s="18" t="s">
        <v>162</v>
      </c>
      <c r="T1126" s="3">
        <f t="shared" si="12"/>
        <v>12</v>
      </c>
      <c r="U1126" s="3">
        <v>10</v>
      </c>
      <c r="V1126" s="3">
        <v>1</v>
      </c>
      <c r="X1126" s="2" t="s">
        <v>105</v>
      </c>
      <c r="Y1126" s="18">
        <v>0</v>
      </c>
      <c r="Z1126" s="18">
        <v>0</v>
      </c>
      <c r="AA1126" s="18">
        <v>0</v>
      </c>
      <c r="AB1126" s="18">
        <v>0</v>
      </c>
      <c r="AC1126" s="18">
        <v>0</v>
      </c>
      <c r="AN1126" s="3">
        <f t="shared" si="13"/>
        <v>0</v>
      </c>
      <c r="AO1126" s="3">
        <v>0</v>
      </c>
      <c r="AP1126" s="3">
        <v>1</v>
      </c>
      <c r="AR1126" s="2" t="s">
        <v>106</v>
      </c>
    </row>
    <row r="1127" spans="1:44" ht="12.75" customHeight="1">
      <c r="A1127" s="5">
        <v>37004</v>
      </c>
      <c r="B1127" s="2" t="s">
        <v>152</v>
      </c>
      <c r="C1127" s="2" t="s">
        <v>379</v>
      </c>
      <c r="E1127" s="18">
        <v>0</v>
      </c>
      <c r="F1127" s="18">
        <v>1</v>
      </c>
      <c r="G1127" s="18">
        <v>5</v>
      </c>
      <c r="H1127" s="18">
        <v>1</v>
      </c>
      <c r="I1127" s="18">
        <v>2</v>
      </c>
      <c r="J1127" s="18">
        <v>2</v>
      </c>
      <c r="T1127" s="3">
        <f>SUM(E1127:S1127)</f>
        <v>11</v>
      </c>
      <c r="U1127" s="3">
        <v>15</v>
      </c>
      <c r="V1127" s="3">
        <v>1</v>
      </c>
      <c r="X1127" s="2" t="s">
        <v>107</v>
      </c>
      <c r="Y1127" s="18">
        <v>0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  <c r="AN1127" s="3">
        <f>SUM(Y1127:AM1127)</f>
        <v>0</v>
      </c>
      <c r="AO1127" s="3">
        <v>1</v>
      </c>
      <c r="AP1127" s="3">
        <v>0</v>
      </c>
      <c r="AR1127" s="2" t="s">
        <v>108</v>
      </c>
    </row>
    <row r="1128" spans="1:44" ht="12.75" customHeight="1">
      <c r="A1128" s="5">
        <v>37005</v>
      </c>
      <c r="B1128" s="2" t="s">
        <v>152</v>
      </c>
      <c r="C1128" s="2" t="s">
        <v>254</v>
      </c>
      <c r="E1128" s="18">
        <v>0</v>
      </c>
      <c r="F1128" s="18">
        <v>0</v>
      </c>
      <c r="G1128" s="18">
        <v>4</v>
      </c>
      <c r="H1128" s="18">
        <v>0</v>
      </c>
      <c r="I1128" s="18">
        <v>0</v>
      </c>
      <c r="J1128" s="18">
        <v>0</v>
      </c>
      <c r="K1128" s="18">
        <v>0</v>
      </c>
      <c r="T1128" s="3">
        <f t="shared" si="12"/>
        <v>4</v>
      </c>
      <c r="U1128" s="3">
        <v>5</v>
      </c>
      <c r="V1128" s="3">
        <v>3</v>
      </c>
      <c r="X1128" s="2" t="s">
        <v>1915</v>
      </c>
      <c r="Y1128" s="18">
        <v>0</v>
      </c>
      <c r="Z1128" s="18">
        <v>0</v>
      </c>
      <c r="AA1128" s="18">
        <v>0</v>
      </c>
      <c r="AB1128" s="18">
        <v>6</v>
      </c>
      <c r="AC1128" s="18">
        <v>1</v>
      </c>
      <c r="AD1128" s="18">
        <v>1</v>
      </c>
      <c r="AE1128" s="18" t="s">
        <v>162</v>
      </c>
      <c r="AN1128" s="3">
        <f t="shared" si="13"/>
        <v>8</v>
      </c>
      <c r="AO1128" s="3">
        <v>4</v>
      </c>
      <c r="AP1128" s="3">
        <v>2</v>
      </c>
      <c r="AR1128" s="2" t="s">
        <v>109</v>
      </c>
    </row>
    <row r="1129" spans="1:44" ht="12.75" customHeight="1">
      <c r="A1129" s="5">
        <v>37007</v>
      </c>
      <c r="B1129" s="2" t="s">
        <v>152</v>
      </c>
      <c r="C1129" s="2" t="s">
        <v>175</v>
      </c>
      <c r="E1129" s="18">
        <v>0</v>
      </c>
      <c r="F1129" s="18">
        <v>0</v>
      </c>
      <c r="G1129" s="18">
        <v>1</v>
      </c>
      <c r="H1129" s="18">
        <v>0</v>
      </c>
      <c r="I1129" s="18">
        <v>0</v>
      </c>
      <c r="J1129" s="18">
        <v>0</v>
      </c>
      <c r="K1129" s="18">
        <v>0</v>
      </c>
      <c r="T1129" s="3">
        <f t="shared" si="12"/>
        <v>1</v>
      </c>
      <c r="U1129" s="3">
        <v>3</v>
      </c>
      <c r="V1129" s="3">
        <v>3</v>
      </c>
      <c r="X1129" s="2" t="s">
        <v>105</v>
      </c>
      <c r="Y1129" s="18">
        <v>0</v>
      </c>
      <c r="Z1129" s="18">
        <v>1</v>
      </c>
      <c r="AA1129" s="18">
        <v>4</v>
      </c>
      <c r="AB1129" s="18">
        <v>1</v>
      </c>
      <c r="AC1129" s="18">
        <v>3</v>
      </c>
      <c r="AD1129" s="18">
        <v>0</v>
      </c>
      <c r="AE1129" s="18" t="s">
        <v>162</v>
      </c>
      <c r="AN1129" s="3">
        <f t="shared" si="13"/>
        <v>9</v>
      </c>
      <c r="AO1129" s="3">
        <v>10</v>
      </c>
      <c r="AP1129" s="3">
        <v>1</v>
      </c>
      <c r="AR1129" s="2" t="s">
        <v>110</v>
      </c>
    </row>
    <row r="1130" spans="1:44" ht="12.75" customHeight="1">
      <c r="A1130" s="5">
        <v>37009</v>
      </c>
      <c r="C1130" s="2" t="s">
        <v>138</v>
      </c>
      <c r="E1130" s="18">
        <v>0</v>
      </c>
      <c r="F1130" s="18">
        <v>1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T1130" s="3">
        <f t="shared" si="12"/>
        <v>1</v>
      </c>
      <c r="U1130" s="3">
        <v>2</v>
      </c>
      <c r="V1130" s="3">
        <v>0</v>
      </c>
      <c r="X1130" s="2" t="s">
        <v>20</v>
      </c>
      <c r="Y1130" s="18">
        <v>1</v>
      </c>
      <c r="Z1130" s="18">
        <v>0</v>
      </c>
      <c r="AA1130" s="18">
        <v>0</v>
      </c>
      <c r="AB1130" s="18">
        <v>1</v>
      </c>
      <c r="AC1130" s="18">
        <v>0</v>
      </c>
      <c r="AD1130" s="18">
        <v>0</v>
      </c>
      <c r="AE1130" s="18">
        <v>0</v>
      </c>
      <c r="AN1130" s="3">
        <f t="shared" si="13"/>
        <v>2</v>
      </c>
      <c r="AO1130" s="3">
        <v>6</v>
      </c>
      <c r="AP1130" s="3">
        <v>3</v>
      </c>
      <c r="AR1130" s="2" t="s">
        <v>111</v>
      </c>
    </row>
    <row r="1131" spans="1:44" ht="12.75" customHeight="1">
      <c r="A1131" s="5">
        <v>37012</v>
      </c>
      <c r="C1131" s="2" t="s">
        <v>374</v>
      </c>
      <c r="E1131" s="18">
        <v>0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T1131" s="3">
        <f t="shared" si="12"/>
        <v>0</v>
      </c>
      <c r="U1131" s="3">
        <v>1</v>
      </c>
      <c r="V1131" s="3">
        <v>4</v>
      </c>
      <c r="X1131" s="2" t="s">
        <v>97</v>
      </c>
      <c r="Y1131" s="18">
        <v>0</v>
      </c>
      <c r="Z1131" s="18">
        <v>0</v>
      </c>
      <c r="AA1131" s="18">
        <v>2</v>
      </c>
      <c r="AB1131" s="18">
        <v>0</v>
      </c>
      <c r="AC1131" s="18">
        <v>0</v>
      </c>
      <c r="AD1131" s="18">
        <v>8</v>
      </c>
      <c r="AN1131" s="3">
        <f t="shared" si="13"/>
        <v>10</v>
      </c>
      <c r="AO1131" s="3">
        <v>13</v>
      </c>
      <c r="AP1131" s="3">
        <v>1</v>
      </c>
      <c r="AR1131" s="2" t="s">
        <v>112</v>
      </c>
    </row>
    <row r="1132" spans="1:44" ht="12.75" customHeight="1">
      <c r="A1132" s="5">
        <v>37014</v>
      </c>
      <c r="B1132" s="2" t="s">
        <v>152</v>
      </c>
      <c r="C1132" s="2" t="s">
        <v>2213</v>
      </c>
      <c r="E1132" s="18">
        <v>0</v>
      </c>
      <c r="F1132" s="18">
        <v>2</v>
      </c>
      <c r="G1132" s="18">
        <v>0</v>
      </c>
      <c r="H1132" s="18">
        <v>0</v>
      </c>
      <c r="I1132" s="18">
        <v>0</v>
      </c>
      <c r="J1132" s="18">
        <v>5</v>
      </c>
      <c r="K1132" s="18">
        <v>0</v>
      </c>
      <c r="T1132" s="3">
        <f t="shared" si="12"/>
        <v>7</v>
      </c>
      <c r="U1132" s="3">
        <v>8</v>
      </c>
      <c r="V1132" s="3">
        <v>2</v>
      </c>
      <c r="X1132" s="2" t="s">
        <v>20</v>
      </c>
      <c r="Y1132" s="18">
        <v>0</v>
      </c>
      <c r="Z1132" s="18">
        <v>2</v>
      </c>
      <c r="AA1132" s="18">
        <v>0</v>
      </c>
      <c r="AB1132" s="18">
        <v>0</v>
      </c>
      <c r="AC1132" s="18">
        <v>2</v>
      </c>
      <c r="AD1132" s="18">
        <v>1</v>
      </c>
      <c r="AE1132" s="18">
        <v>0</v>
      </c>
      <c r="AN1132" s="3">
        <f t="shared" si="13"/>
        <v>5</v>
      </c>
      <c r="AO1132" s="3">
        <v>8</v>
      </c>
      <c r="AP1132" s="3">
        <v>0</v>
      </c>
      <c r="AR1132" s="2" t="s">
        <v>113</v>
      </c>
    </row>
    <row r="1133" spans="1:44" ht="12.75" customHeight="1">
      <c r="A1133" s="5">
        <v>37016</v>
      </c>
      <c r="B1133" s="2" t="s">
        <v>152</v>
      </c>
      <c r="C1133" s="2" t="s">
        <v>169</v>
      </c>
      <c r="E1133" s="18">
        <v>0</v>
      </c>
      <c r="F1133" s="18">
        <v>3</v>
      </c>
      <c r="G1133" s="18">
        <v>0</v>
      </c>
      <c r="H1133" s="18">
        <v>2</v>
      </c>
      <c r="I1133" s="18">
        <v>3</v>
      </c>
      <c r="J1133" s="18">
        <v>8</v>
      </c>
      <c r="T1133" s="3">
        <f t="shared" si="12"/>
        <v>16</v>
      </c>
      <c r="U1133" s="3">
        <v>8</v>
      </c>
      <c r="V1133" s="3">
        <v>1</v>
      </c>
      <c r="X1133" s="2" t="s">
        <v>114</v>
      </c>
      <c r="Y1133" s="18">
        <v>2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  <c r="AN1133" s="3">
        <f t="shared" si="13"/>
        <v>2</v>
      </c>
      <c r="AO1133" s="3">
        <v>3</v>
      </c>
      <c r="AP1133" s="3">
        <v>3</v>
      </c>
      <c r="AR1133" s="2" t="s">
        <v>115</v>
      </c>
    </row>
    <row r="1134" spans="1:44" ht="12.75" customHeight="1">
      <c r="A1134" s="5">
        <v>37019</v>
      </c>
      <c r="C1134" s="2" t="s">
        <v>236</v>
      </c>
      <c r="E1134" s="18">
        <v>0</v>
      </c>
      <c r="F1134" s="18">
        <v>0</v>
      </c>
      <c r="G1134" s="18">
        <v>0</v>
      </c>
      <c r="H1134" s="18">
        <v>0</v>
      </c>
      <c r="I1134" s="18">
        <v>1</v>
      </c>
      <c r="J1134" s="18">
        <v>1</v>
      </c>
      <c r="K1134" s="18">
        <v>0</v>
      </c>
      <c r="T1134" s="3">
        <f t="shared" si="12"/>
        <v>2</v>
      </c>
      <c r="U1134" s="3">
        <v>4</v>
      </c>
      <c r="V1134" s="3">
        <v>1</v>
      </c>
      <c r="X1134" s="2" t="s">
        <v>87</v>
      </c>
      <c r="Y1134" s="18">
        <v>0</v>
      </c>
      <c r="Z1134" s="18">
        <v>0</v>
      </c>
      <c r="AA1134" s="18">
        <v>3</v>
      </c>
      <c r="AB1134" s="18">
        <v>0</v>
      </c>
      <c r="AC1134" s="18">
        <v>1</v>
      </c>
      <c r="AD1134" s="18">
        <v>2</v>
      </c>
      <c r="AE1134" s="18">
        <v>0</v>
      </c>
      <c r="AN1134" s="3">
        <f t="shared" si="13"/>
        <v>6</v>
      </c>
      <c r="AO1134" s="3">
        <v>8</v>
      </c>
      <c r="AP1134" s="3">
        <v>2</v>
      </c>
      <c r="AR1134" s="2" t="s">
        <v>116</v>
      </c>
    </row>
    <row r="1135" spans="1:44" ht="12.75" customHeight="1">
      <c r="A1135" s="5">
        <v>37021</v>
      </c>
      <c r="B1135" s="2" t="s">
        <v>152</v>
      </c>
      <c r="C1135" s="2" t="s">
        <v>191</v>
      </c>
      <c r="E1135" s="18">
        <v>0</v>
      </c>
      <c r="F1135" s="18">
        <v>0</v>
      </c>
      <c r="G1135" s="18">
        <v>0</v>
      </c>
      <c r="H1135" s="18">
        <v>0</v>
      </c>
      <c r="I1135" s="18">
        <v>1</v>
      </c>
      <c r="J1135" s="18">
        <v>1</v>
      </c>
      <c r="K1135" s="18">
        <v>0</v>
      </c>
      <c r="T1135" s="3">
        <f t="shared" si="12"/>
        <v>2</v>
      </c>
      <c r="U1135" s="3">
        <v>6</v>
      </c>
      <c r="V1135" s="3">
        <v>4</v>
      </c>
      <c r="X1135" s="2" t="s">
        <v>114</v>
      </c>
      <c r="Y1135" s="18">
        <v>0</v>
      </c>
      <c r="Z1135" s="18">
        <v>3</v>
      </c>
      <c r="AA1135" s="18">
        <v>1</v>
      </c>
      <c r="AB1135" s="18">
        <v>0</v>
      </c>
      <c r="AC1135" s="18">
        <v>2</v>
      </c>
      <c r="AD1135" s="18">
        <v>1</v>
      </c>
      <c r="AN1135" s="3">
        <f t="shared" si="13"/>
        <v>7</v>
      </c>
      <c r="AO1135" s="3">
        <v>6</v>
      </c>
      <c r="AP1135" s="3">
        <v>0</v>
      </c>
      <c r="AR1135" s="2" t="s">
        <v>117</v>
      </c>
    </row>
    <row r="1136" spans="1:44" ht="12.75" customHeight="1">
      <c r="A1136" s="5">
        <v>37026</v>
      </c>
      <c r="C1136" s="2" t="s">
        <v>259</v>
      </c>
      <c r="E1136" s="18">
        <v>0</v>
      </c>
      <c r="F1136" s="18">
        <v>0</v>
      </c>
      <c r="G1136" s="18">
        <v>0</v>
      </c>
      <c r="H1136" s="18">
        <v>0</v>
      </c>
      <c r="I1136" s="18">
        <v>1</v>
      </c>
      <c r="J1136" s="18">
        <v>0</v>
      </c>
      <c r="K1136" s="18">
        <v>0</v>
      </c>
      <c r="L1136" s="18">
        <v>1</v>
      </c>
      <c r="T1136" s="3">
        <f t="shared" si="12"/>
        <v>2</v>
      </c>
      <c r="U1136" s="3">
        <v>10</v>
      </c>
      <c r="V1136" s="3">
        <v>0</v>
      </c>
      <c r="X1136" s="2" t="s">
        <v>118</v>
      </c>
      <c r="Y1136" s="18">
        <v>0</v>
      </c>
      <c r="Z1136" s="18">
        <v>0</v>
      </c>
      <c r="AA1136" s="18">
        <v>1</v>
      </c>
      <c r="AB1136" s="18">
        <v>0</v>
      </c>
      <c r="AC1136" s="18">
        <v>0</v>
      </c>
      <c r="AD1136" s="18">
        <v>0</v>
      </c>
      <c r="AE1136" s="18">
        <v>0</v>
      </c>
      <c r="AF1136" s="18">
        <v>2</v>
      </c>
      <c r="AN1136" s="3">
        <f t="shared" si="13"/>
        <v>3</v>
      </c>
      <c r="AO1136" s="3">
        <v>10</v>
      </c>
      <c r="AP1136" s="3">
        <v>4</v>
      </c>
      <c r="AR1136" s="2" t="s">
        <v>119</v>
      </c>
    </row>
    <row r="1137" spans="1:44" ht="12.75" customHeight="1">
      <c r="A1137" s="5">
        <v>37030</v>
      </c>
      <c r="B1137" s="2" t="s">
        <v>152</v>
      </c>
      <c r="C1137" s="2" t="s">
        <v>192</v>
      </c>
      <c r="E1137" s="18">
        <v>3</v>
      </c>
      <c r="F1137" s="18">
        <v>1</v>
      </c>
      <c r="G1137" s="18">
        <v>1</v>
      </c>
      <c r="H1137" s="18">
        <v>3</v>
      </c>
      <c r="I1137" s="18">
        <v>3</v>
      </c>
      <c r="J1137" s="18">
        <v>0</v>
      </c>
      <c r="K1137" s="18">
        <v>2</v>
      </c>
      <c r="T1137" s="3">
        <f t="shared" si="12"/>
        <v>13</v>
      </c>
      <c r="U1137" s="3">
        <v>13</v>
      </c>
      <c r="V1137" s="3">
        <v>2</v>
      </c>
      <c r="X1137" s="2" t="s">
        <v>120</v>
      </c>
      <c r="Y1137" s="18">
        <v>0</v>
      </c>
      <c r="Z1137" s="18">
        <v>0</v>
      </c>
      <c r="AA1137" s="18">
        <v>0</v>
      </c>
      <c r="AB1137" s="18">
        <v>2</v>
      </c>
      <c r="AC1137" s="18">
        <v>0</v>
      </c>
      <c r="AD1137" s="18">
        <v>0</v>
      </c>
      <c r="AE1137" s="18">
        <v>9</v>
      </c>
      <c r="AN1137" s="3">
        <f t="shared" si="13"/>
        <v>11</v>
      </c>
      <c r="AO1137" s="3">
        <v>9</v>
      </c>
      <c r="AP1137" s="3">
        <v>5</v>
      </c>
      <c r="AR1137" s="2" t="s">
        <v>121</v>
      </c>
    </row>
    <row r="1138" spans="1:44" ht="12.75" customHeight="1">
      <c r="A1138" s="5">
        <v>37034</v>
      </c>
      <c r="B1138" s="2" t="s">
        <v>152</v>
      </c>
      <c r="C1138" s="2" t="s">
        <v>191</v>
      </c>
      <c r="D1138" s="2" t="s">
        <v>258</v>
      </c>
      <c r="E1138" s="18">
        <v>0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T1138" s="3">
        <f t="shared" si="12"/>
        <v>0</v>
      </c>
      <c r="U1138" s="3">
        <v>4</v>
      </c>
      <c r="V1138" s="3">
        <v>2</v>
      </c>
      <c r="X1138" s="2" t="s">
        <v>122</v>
      </c>
      <c r="Y1138" s="18">
        <v>2</v>
      </c>
      <c r="Z1138" s="18">
        <v>3</v>
      </c>
      <c r="AA1138" s="18">
        <v>0</v>
      </c>
      <c r="AB1138" s="18">
        <v>0</v>
      </c>
      <c r="AC1138" s="18">
        <v>2</v>
      </c>
      <c r="AD1138" s="18">
        <v>0</v>
      </c>
      <c r="AE1138" s="18" t="s">
        <v>162</v>
      </c>
      <c r="AN1138" s="3">
        <f t="shared" si="13"/>
        <v>7</v>
      </c>
      <c r="AO1138" s="3">
        <v>6</v>
      </c>
      <c r="AP1138" s="3">
        <v>1</v>
      </c>
      <c r="AR1138" s="2" t="s">
        <v>123</v>
      </c>
    </row>
    <row r="1139" ht="12.75" customHeight="1"/>
    <row r="1140" spans="1:45" ht="12.75" customHeight="1">
      <c r="A1140" s="8">
        <v>37337</v>
      </c>
      <c r="B1140" s="2" t="s">
        <v>152</v>
      </c>
      <c r="C1140" s="2" t="s">
        <v>932</v>
      </c>
      <c r="E1140" s="18">
        <v>8</v>
      </c>
      <c r="F1140" s="18">
        <v>5</v>
      </c>
      <c r="G1140" s="18">
        <v>10</v>
      </c>
      <c r="H1140" s="18">
        <v>1</v>
      </c>
      <c r="I1140" s="18">
        <v>0</v>
      </c>
      <c r="T1140" s="3">
        <f t="shared" si="12"/>
        <v>24</v>
      </c>
      <c r="U1140" s="3">
        <v>13</v>
      </c>
      <c r="V1140" s="3">
        <v>0</v>
      </c>
      <c r="X1140" s="2" t="s">
        <v>1920</v>
      </c>
      <c r="Y1140" s="18">
        <v>0</v>
      </c>
      <c r="Z1140" s="18">
        <v>0</v>
      </c>
      <c r="AA1140" s="18">
        <v>0</v>
      </c>
      <c r="AB1140" s="18">
        <v>0</v>
      </c>
      <c r="AC1140" s="18">
        <v>0</v>
      </c>
      <c r="AN1140" s="3">
        <f t="shared" si="13"/>
        <v>0</v>
      </c>
      <c r="AO1140" s="3">
        <v>0</v>
      </c>
      <c r="AP1140" s="3">
        <v>0</v>
      </c>
      <c r="AR1140" s="2" t="s">
        <v>1428</v>
      </c>
      <c r="AS1140" s="2" t="s">
        <v>1848</v>
      </c>
    </row>
    <row r="1141" spans="1:46" ht="12.75" customHeight="1">
      <c r="A1141" s="8">
        <v>37338</v>
      </c>
      <c r="B1141" s="2" t="s">
        <v>152</v>
      </c>
      <c r="C1141" s="2" t="s">
        <v>1910</v>
      </c>
      <c r="E1141" s="18">
        <v>0</v>
      </c>
      <c r="F1141" s="18">
        <v>0</v>
      </c>
      <c r="G1141" s="18">
        <v>2</v>
      </c>
      <c r="H1141" s="18">
        <v>0</v>
      </c>
      <c r="I1141" s="18">
        <v>4</v>
      </c>
      <c r="J1141" s="18">
        <v>0</v>
      </c>
      <c r="K1141" s="18">
        <v>0</v>
      </c>
      <c r="T1141" s="3">
        <f t="shared" si="12"/>
        <v>6</v>
      </c>
      <c r="U1141" s="3">
        <v>8</v>
      </c>
      <c r="V1141" s="3">
        <v>4</v>
      </c>
      <c r="X1141" s="2" t="s">
        <v>1419</v>
      </c>
      <c r="Y1141" s="18">
        <v>1</v>
      </c>
      <c r="Z1141" s="18">
        <v>0</v>
      </c>
      <c r="AA1141" s="18">
        <v>2</v>
      </c>
      <c r="AB1141" s="18">
        <v>0</v>
      </c>
      <c r="AC1141" s="18">
        <v>3</v>
      </c>
      <c r="AD1141" s="18">
        <v>0</v>
      </c>
      <c r="AE1141" s="18">
        <v>1</v>
      </c>
      <c r="AN1141" s="3">
        <f t="shared" si="13"/>
        <v>7</v>
      </c>
      <c r="AO1141" s="3">
        <v>6</v>
      </c>
      <c r="AP1141" s="3">
        <v>3</v>
      </c>
      <c r="AR1141" s="2" t="s">
        <v>1426</v>
      </c>
      <c r="AS1141" s="2" t="s">
        <v>252</v>
      </c>
      <c r="AT1141" s="2">
        <v>8</v>
      </c>
    </row>
    <row r="1142" spans="1:44" ht="12.75" customHeight="1">
      <c r="A1142" s="8">
        <v>37348</v>
      </c>
      <c r="B1142" s="2" t="s">
        <v>152</v>
      </c>
      <c r="C1142" s="2" t="s">
        <v>290</v>
      </c>
      <c r="E1142" s="18">
        <v>1</v>
      </c>
      <c r="F1142" s="18">
        <v>0</v>
      </c>
      <c r="G1142" s="18">
        <v>0</v>
      </c>
      <c r="H1142" s="18">
        <v>0</v>
      </c>
      <c r="I1142" s="18">
        <v>5</v>
      </c>
      <c r="J1142" s="18">
        <v>0</v>
      </c>
      <c r="K1142" s="18">
        <v>4</v>
      </c>
      <c r="T1142" s="3">
        <f t="shared" si="12"/>
        <v>10</v>
      </c>
      <c r="U1142" s="3">
        <v>8</v>
      </c>
      <c r="V1142" s="3">
        <v>8</v>
      </c>
      <c r="X1142" s="2" t="s">
        <v>1420</v>
      </c>
      <c r="Y1142" s="18">
        <v>4</v>
      </c>
      <c r="Z1142" s="18">
        <v>1</v>
      </c>
      <c r="AA1142" s="18">
        <v>0</v>
      </c>
      <c r="AB1142" s="18">
        <v>0</v>
      </c>
      <c r="AC1142" s="18">
        <v>2</v>
      </c>
      <c r="AD1142" s="18">
        <v>1</v>
      </c>
      <c r="AE1142" s="18">
        <v>0</v>
      </c>
      <c r="AN1142" s="3">
        <f t="shared" si="13"/>
        <v>8</v>
      </c>
      <c r="AO1142" s="3">
        <v>7</v>
      </c>
      <c r="AP1142" s="3">
        <v>3</v>
      </c>
      <c r="AR1142" s="2" t="s">
        <v>1425</v>
      </c>
    </row>
    <row r="1143" spans="1:44" ht="12.75" customHeight="1">
      <c r="A1143" s="8">
        <v>37350</v>
      </c>
      <c r="C1143" s="2" t="s">
        <v>392</v>
      </c>
      <c r="E1143" s="18">
        <v>1</v>
      </c>
      <c r="F1143" s="18">
        <v>0</v>
      </c>
      <c r="G1143" s="18">
        <v>1</v>
      </c>
      <c r="H1143" s="18">
        <v>1</v>
      </c>
      <c r="I1143" s="18">
        <v>1</v>
      </c>
      <c r="J1143" s="18">
        <v>5</v>
      </c>
      <c r="K1143" s="18" t="s">
        <v>162</v>
      </c>
      <c r="T1143" s="3">
        <f t="shared" si="12"/>
        <v>9</v>
      </c>
      <c r="U1143" s="3">
        <v>11</v>
      </c>
      <c r="V1143" s="3">
        <v>3</v>
      </c>
      <c r="X1143" s="2" t="s">
        <v>99</v>
      </c>
      <c r="Y1143" s="18">
        <v>3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  <c r="AE1143" s="18">
        <v>0</v>
      </c>
      <c r="AN1143" s="3">
        <f t="shared" si="13"/>
        <v>3</v>
      </c>
      <c r="AO1143" s="3">
        <v>5</v>
      </c>
      <c r="AP1143" s="3">
        <v>1</v>
      </c>
      <c r="AR1143" s="2" t="s">
        <v>1424</v>
      </c>
    </row>
    <row r="1144" spans="1:44" ht="12.75" customHeight="1">
      <c r="A1144" s="8">
        <v>37351</v>
      </c>
      <c r="C1144" s="2" t="s">
        <v>191</v>
      </c>
      <c r="E1144" s="18">
        <v>0</v>
      </c>
      <c r="F1144" s="18">
        <v>0</v>
      </c>
      <c r="G1144" s="18">
        <v>0</v>
      </c>
      <c r="H1144" s="18">
        <v>12</v>
      </c>
      <c r="I1144" s="18">
        <v>0</v>
      </c>
      <c r="J1144" s="18" t="s">
        <v>162</v>
      </c>
      <c r="T1144" s="3">
        <f t="shared" si="12"/>
        <v>12</v>
      </c>
      <c r="U1144" s="3">
        <v>10</v>
      </c>
      <c r="V1144" s="3">
        <v>1</v>
      </c>
      <c r="X1144" s="2" t="s">
        <v>97</v>
      </c>
      <c r="Y1144" s="18">
        <v>0</v>
      </c>
      <c r="Z1144" s="18">
        <v>0</v>
      </c>
      <c r="AA1144" s="18">
        <v>0</v>
      </c>
      <c r="AB1144" s="18">
        <v>1</v>
      </c>
      <c r="AC1144" s="18">
        <v>0</v>
      </c>
      <c r="AD1144" s="18">
        <v>0</v>
      </c>
      <c r="AN1144" s="3">
        <f t="shared" si="13"/>
        <v>1</v>
      </c>
      <c r="AO1144" s="3">
        <v>3</v>
      </c>
      <c r="AP1144" s="3">
        <v>7</v>
      </c>
      <c r="AR1144" s="2" t="s">
        <v>1423</v>
      </c>
    </row>
    <row r="1145" spans="1:44" ht="12.75" customHeight="1">
      <c r="A1145" s="8">
        <v>37356</v>
      </c>
      <c r="C1145" s="2" t="s">
        <v>174</v>
      </c>
      <c r="E1145" s="18">
        <v>0</v>
      </c>
      <c r="F1145" s="18">
        <v>0</v>
      </c>
      <c r="G1145" s="18">
        <v>1</v>
      </c>
      <c r="H1145" s="18">
        <v>0</v>
      </c>
      <c r="I1145" s="18">
        <v>1</v>
      </c>
      <c r="J1145" s="18">
        <v>6</v>
      </c>
      <c r="K1145" s="18">
        <v>0</v>
      </c>
      <c r="T1145" s="3">
        <f t="shared" si="12"/>
        <v>8</v>
      </c>
      <c r="U1145" s="3">
        <v>11</v>
      </c>
      <c r="V1145" s="3">
        <v>2</v>
      </c>
      <c r="X1145" s="2" t="s">
        <v>1557</v>
      </c>
      <c r="Y1145" s="18">
        <v>0</v>
      </c>
      <c r="Z1145" s="18">
        <v>2</v>
      </c>
      <c r="AA1145" s="18">
        <v>0</v>
      </c>
      <c r="AB1145" s="18">
        <v>0</v>
      </c>
      <c r="AC1145" s="18">
        <v>0</v>
      </c>
      <c r="AD1145" s="18">
        <v>0</v>
      </c>
      <c r="AE1145" s="18">
        <v>5</v>
      </c>
      <c r="AN1145" s="3">
        <f t="shared" si="13"/>
        <v>7</v>
      </c>
      <c r="AO1145" s="3">
        <v>9</v>
      </c>
      <c r="AP1145" s="3">
        <v>2</v>
      </c>
      <c r="AR1145" s="2" t="s">
        <v>1427</v>
      </c>
    </row>
    <row r="1146" spans="1:44" ht="12.75" customHeight="1">
      <c r="A1146" s="8">
        <v>37357</v>
      </c>
      <c r="C1146" s="2" t="s">
        <v>168</v>
      </c>
      <c r="E1146" s="18">
        <v>0</v>
      </c>
      <c r="F1146" s="18">
        <v>1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T1146" s="3">
        <f t="shared" si="12"/>
        <v>1</v>
      </c>
      <c r="U1146" s="3">
        <v>6</v>
      </c>
      <c r="V1146" s="3">
        <v>2</v>
      </c>
      <c r="X1146" s="2" t="s">
        <v>591</v>
      </c>
      <c r="Y1146" s="18">
        <v>0</v>
      </c>
      <c r="Z1146" s="18">
        <v>1</v>
      </c>
      <c r="AA1146" s="18">
        <v>0</v>
      </c>
      <c r="AB1146" s="18">
        <v>0</v>
      </c>
      <c r="AC1146" s="18">
        <v>0</v>
      </c>
      <c r="AD1146" s="18">
        <v>1</v>
      </c>
      <c r="AE1146" s="18">
        <v>1</v>
      </c>
      <c r="AN1146" s="3">
        <f t="shared" si="13"/>
        <v>3</v>
      </c>
      <c r="AO1146" s="3">
        <v>5</v>
      </c>
      <c r="AP1146" s="3">
        <v>0</v>
      </c>
      <c r="AR1146" s="2" t="s">
        <v>1422</v>
      </c>
    </row>
    <row r="1147" spans="1:44" ht="12.75" customHeight="1">
      <c r="A1147" s="8">
        <v>37362</v>
      </c>
      <c r="B1147" s="2" t="s">
        <v>152</v>
      </c>
      <c r="C1147" s="2" t="s">
        <v>137</v>
      </c>
      <c r="E1147" s="18">
        <v>2</v>
      </c>
      <c r="F1147" s="18">
        <v>2</v>
      </c>
      <c r="G1147" s="18">
        <v>0</v>
      </c>
      <c r="H1147" s="18">
        <v>1</v>
      </c>
      <c r="I1147" s="18">
        <v>0</v>
      </c>
      <c r="J1147" s="18">
        <v>0</v>
      </c>
      <c r="K1147" s="18">
        <v>0</v>
      </c>
      <c r="T1147" s="3">
        <f t="shared" si="12"/>
        <v>5</v>
      </c>
      <c r="U1147" s="3">
        <v>9</v>
      </c>
      <c r="V1147" s="3">
        <v>0</v>
      </c>
      <c r="X1147" s="2" t="s">
        <v>114</v>
      </c>
      <c r="Y1147" s="18">
        <v>3</v>
      </c>
      <c r="Z1147" s="18">
        <v>0</v>
      </c>
      <c r="AA1147" s="18">
        <v>0</v>
      </c>
      <c r="AB1147" s="18">
        <v>0</v>
      </c>
      <c r="AC1147" s="18">
        <v>1</v>
      </c>
      <c r="AD1147" s="18">
        <v>3</v>
      </c>
      <c r="AE1147" s="18" t="s">
        <v>162</v>
      </c>
      <c r="AN1147" s="3">
        <f t="shared" si="13"/>
        <v>7</v>
      </c>
      <c r="AO1147" s="3">
        <v>10</v>
      </c>
      <c r="AP1147" s="3">
        <v>2</v>
      </c>
      <c r="AR1147" s="2" t="s">
        <v>1421</v>
      </c>
    </row>
    <row r="1148" spans="1:44" ht="12.75" customHeight="1">
      <c r="A1148" s="8">
        <v>37364</v>
      </c>
      <c r="C1148" s="2" t="s">
        <v>183</v>
      </c>
      <c r="E1148" s="18">
        <v>2</v>
      </c>
      <c r="F1148" s="18">
        <v>2</v>
      </c>
      <c r="G1148" s="18">
        <v>1</v>
      </c>
      <c r="H1148" s="18">
        <v>0</v>
      </c>
      <c r="I1148" s="18">
        <v>1</v>
      </c>
      <c r="J1148" s="18">
        <v>0</v>
      </c>
      <c r="K1148" s="18" t="s">
        <v>162</v>
      </c>
      <c r="T1148" s="3">
        <f t="shared" si="12"/>
        <v>6</v>
      </c>
      <c r="U1148" s="3">
        <v>8</v>
      </c>
      <c r="V1148" s="3">
        <v>0</v>
      </c>
      <c r="X1148" s="2" t="s">
        <v>1108</v>
      </c>
      <c r="Y1148" s="18"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N1148" s="3">
        <f t="shared" si="13"/>
        <v>0</v>
      </c>
      <c r="AO1148" s="3">
        <v>4</v>
      </c>
      <c r="AP1148" s="3">
        <v>2</v>
      </c>
      <c r="AR1148" s="2" t="s">
        <v>1113</v>
      </c>
    </row>
    <row r="1149" spans="1:44" ht="12.75" customHeight="1">
      <c r="A1149" s="8">
        <v>37366</v>
      </c>
      <c r="C1149" s="2" t="s">
        <v>192</v>
      </c>
      <c r="E1149" s="18">
        <v>0</v>
      </c>
      <c r="F1149" s="18">
        <v>0</v>
      </c>
      <c r="G1149" s="18">
        <v>0</v>
      </c>
      <c r="H1149" s="18">
        <v>2</v>
      </c>
      <c r="I1149" s="18">
        <v>3</v>
      </c>
      <c r="J1149" s="18">
        <v>0</v>
      </c>
      <c r="K1149" s="18">
        <v>1</v>
      </c>
      <c r="T1149" s="3">
        <f t="shared" si="12"/>
        <v>6</v>
      </c>
      <c r="U1149" s="3">
        <v>10</v>
      </c>
      <c r="V1149" s="3">
        <v>2</v>
      </c>
      <c r="X1149" s="2" t="s">
        <v>1109</v>
      </c>
      <c r="Y1149" s="18">
        <v>0</v>
      </c>
      <c r="Z1149" s="18">
        <v>0</v>
      </c>
      <c r="AA1149" s="18">
        <v>0</v>
      </c>
      <c r="AB1149" s="18">
        <v>0</v>
      </c>
      <c r="AC1149" s="18">
        <v>1</v>
      </c>
      <c r="AD1149" s="18">
        <v>0</v>
      </c>
      <c r="AE1149" s="18">
        <v>4</v>
      </c>
      <c r="AN1149" s="3">
        <f t="shared" si="13"/>
        <v>5</v>
      </c>
      <c r="AO1149" s="3">
        <v>11</v>
      </c>
      <c r="AP1149" s="3">
        <v>1</v>
      </c>
      <c r="AR1149" s="2" t="s">
        <v>2391</v>
      </c>
    </row>
    <row r="1150" spans="1:44" ht="12.75" customHeight="1">
      <c r="A1150" s="8">
        <v>37369</v>
      </c>
      <c r="B1150" s="2" t="s">
        <v>152</v>
      </c>
      <c r="C1150" s="2" t="s">
        <v>305</v>
      </c>
      <c r="E1150" s="18">
        <v>0</v>
      </c>
      <c r="F1150" s="18">
        <v>1</v>
      </c>
      <c r="G1150" s="18">
        <v>1</v>
      </c>
      <c r="H1150" s="18">
        <v>0</v>
      </c>
      <c r="I1150" s="18">
        <v>0</v>
      </c>
      <c r="J1150" s="18">
        <v>0</v>
      </c>
      <c r="K1150" s="18">
        <v>2</v>
      </c>
      <c r="T1150" s="3">
        <f t="shared" si="12"/>
        <v>4</v>
      </c>
      <c r="U1150" s="3">
        <v>8</v>
      </c>
      <c r="V1150" s="3">
        <v>1</v>
      </c>
      <c r="X1150" s="2" t="s">
        <v>99</v>
      </c>
      <c r="Y1150" s="18">
        <v>0</v>
      </c>
      <c r="Z1150" s="18">
        <v>0</v>
      </c>
      <c r="AA1150" s="18">
        <v>0</v>
      </c>
      <c r="AB1150" s="18">
        <v>2</v>
      </c>
      <c r="AC1150" s="18">
        <v>1</v>
      </c>
      <c r="AD1150" s="18">
        <v>0</v>
      </c>
      <c r="AE1150" s="18">
        <v>0</v>
      </c>
      <c r="AN1150" s="3">
        <f t="shared" si="13"/>
        <v>3</v>
      </c>
      <c r="AO1150" s="3">
        <v>6</v>
      </c>
      <c r="AP1150" s="3">
        <v>1</v>
      </c>
      <c r="AR1150" s="2" t="s">
        <v>1114</v>
      </c>
    </row>
    <row r="1151" spans="1:44" ht="12.75" customHeight="1">
      <c r="A1151" s="8">
        <v>37372</v>
      </c>
      <c r="C1151" s="2" t="s">
        <v>254</v>
      </c>
      <c r="E1151" s="18">
        <v>0</v>
      </c>
      <c r="F1151" s="18">
        <v>0</v>
      </c>
      <c r="G1151" s="18">
        <v>2</v>
      </c>
      <c r="H1151" s="18">
        <v>0</v>
      </c>
      <c r="I1151" s="18">
        <v>3</v>
      </c>
      <c r="J1151" s="18">
        <v>0</v>
      </c>
      <c r="K1151" s="18">
        <v>1</v>
      </c>
      <c r="T1151" s="3">
        <f t="shared" si="12"/>
        <v>6</v>
      </c>
      <c r="U1151" s="3">
        <v>8</v>
      </c>
      <c r="V1151" s="3">
        <v>4</v>
      </c>
      <c r="X1151" s="2" t="s">
        <v>1110</v>
      </c>
      <c r="Y1151" s="18">
        <v>1</v>
      </c>
      <c r="Z1151" s="18">
        <v>0</v>
      </c>
      <c r="AA1151" s="18">
        <v>0</v>
      </c>
      <c r="AB1151" s="18">
        <v>3</v>
      </c>
      <c r="AC1151" s="18">
        <v>0</v>
      </c>
      <c r="AD1151" s="18">
        <v>0</v>
      </c>
      <c r="AE1151" s="18">
        <v>7</v>
      </c>
      <c r="AN1151" s="3">
        <f t="shared" si="13"/>
        <v>11</v>
      </c>
      <c r="AO1151" s="3">
        <v>12</v>
      </c>
      <c r="AP1151" s="3">
        <v>1</v>
      </c>
      <c r="AR1151" s="2" t="s">
        <v>1115</v>
      </c>
    </row>
    <row r="1152" spans="1:44" ht="12.75" customHeight="1">
      <c r="A1152" s="8">
        <v>37373</v>
      </c>
      <c r="C1152" s="2" t="s">
        <v>138</v>
      </c>
      <c r="E1152" s="18">
        <v>0</v>
      </c>
      <c r="F1152" s="18">
        <v>2</v>
      </c>
      <c r="G1152" s="18">
        <v>0</v>
      </c>
      <c r="H1152" s="18">
        <v>3</v>
      </c>
      <c r="I1152" s="18">
        <v>0</v>
      </c>
      <c r="J1152" s="18">
        <v>1</v>
      </c>
      <c r="K1152" s="18">
        <v>1</v>
      </c>
      <c r="T1152" s="3">
        <f t="shared" si="12"/>
        <v>7</v>
      </c>
      <c r="U1152" s="3">
        <v>10</v>
      </c>
      <c r="V1152" s="3">
        <v>3</v>
      </c>
      <c r="X1152" s="2" t="s">
        <v>97</v>
      </c>
      <c r="Y1152" s="18">
        <v>0</v>
      </c>
      <c r="Z1152" s="18">
        <v>0</v>
      </c>
      <c r="AA1152" s="18">
        <v>0</v>
      </c>
      <c r="AB1152" s="18">
        <v>1</v>
      </c>
      <c r="AC1152" s="18">
        <v>0</v>
      </c>
      <c r="AD1152" s="18">
        <v>4</v>
      </c>
      <c r="AE1152" s="18">
        <v>0</v>
      </c>
      <c r="AN1152" s="3">
        <f t="shared" si="13"/>
        <v>5</v>
      </c>
      <c r="AO1152" s="3">
        <v>4</v>
      </c>
      <c r="AP1152" s="3">
        <v>5</v>
      </c>
      <c r="AR1152" s="2" t="s">
        <v>2377</v>
      </c>
    </row>
    <row r="1153" spans="1:44" ht="12.75" customHeight="1">
      <c r="A1153" s="8">
        <v>37377</v>
      </c>
      <c r="C1153" s="2" t="s">
        <v>175</v>
      </c>
      <c r="E1153" s="18">
        <v>1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1</v>
      </c>
      <c r="T1153" s="3">
        <f t="shared" si="12"/>
        <v>2</v>
      </c>
      <c r="U1153" s="3">
        <v>7</v>
      </c>
      <c r="V1153" s="3">
        <v>1</v>
      </c>
      <c r="X1153" s="2" t="s">
        <v>99</v>
      </c>
      <c r="Y1153" s="18">
        <v>0</v>
      </c>
      <c r="Z1153" s="18">
        <v>2</v>
      </c>
      <c r="AA1153" s="18">
        <v>0</v>
      </c>
      <c r="AB1153" s="18">
        <v>0</v>
      </c>
      <c r="AC1153" s="18">
        <v>1</v>
      </c>
      <c r="AD1153" s="18">
        <v>0</v>
      </c>
      <c r="AE1153" s="18">
        <v>0</v>
      </c>
      <c r="AN1153" s="3">
        <f t="shared" si="13"/>
        <v>3</v>
      </c>
      <c r="AO1153" s="3">
        <v>7</v>
      </c>
      <c r="AP1153" s="3">
        <v>0</v>
      </c>
      <c r="AR1153" s="2" t="s">
        <v>1116</v>
      </c>
    </row>
    <row r="1154" spans="1:44" ht="12.75" customHeight="1">
      <c r="A1154" s="8">
        <v>37379</v>
      </c>
      <c r="B1154" s="2" t="s">
        <v>152</v>
      </c>
      <c r="C1154" s="2" t="s">
        <v>374</v>
      </c>
      <c r="E1154" s="18">
        <v>0</v>
      </c>
      <c r="F1154" s="18">
        <v>1</v>
      </c>
      <c r="G1154" s="18">
        <v>0</v>
      </c>
      <c r="H1154" s="18">
        <v>4</v>
      </c>
      <c r="I1154" s="18">
        <v>5</v>
      </c>
      <c r="J1154" s="18">
        <v>4</v>
      </c>
      <c r="T1154" s="3">
        <f t="shared" si="12"/>
        <v>14</v>
      </c>
      <c r="U1154" s="3">
        <v>19</v>
      </c>
      <c r="V1154" s="3">
        <v>1</v>
      </c>
      <c r="X1154" s="2" t="s">
        <v>1110</v>
      </c>
      <c r="Y1154" s="18">
        <v>1</v>
      </c>
      <c r="Z1154" s="18">
        <v>1</v>
      </c>
      <c r="AA1154" s="18">
        <v>0</v>
      </c>
      <c r="AB1154" s="18">
        <v>0</v>
      </c>
      <c r="AC1154" s="18">
        <v>0</v>
      </c>
      <c r="AD1154" s="18">
        <v>0</v>
      </c>
      <c r="AN1154" s="3">
        <f t="shared" si="13"/>
        <v>2</v>
      </c>
      <c r="AO1154" s="3">
        <v>5</v>
      </c>
      <c r="AP1154" s="3">
        <v>1</v>
      </c>
      <c r="AR1154" s="2" t="s">
        <v>1117</v>
      </c>
    </row>
    <row r="1155" spans="1:44" ht="12.75" customHeight="1">
      <c r="A1155" s="8">
        <v>37380</v>
      </c>
      <c r="C1155" s="2" t="s">
        <v>169</v>
      </c>
      <c r="E1155" s="18">
        <v>1</v>
      </c>
      <c r="F1155" s="18">
        <v>0</v>
      </c>
      <c r="G1155" s="18">
        <v>1</v>
      </c>
      <c r="H1155" s="18">
        <v>2</v>
      </c>
      <c r="I1155" s="18">
        <v>0</v>
      </c>
      <c r="J1155" s="18">
        <v>1</v>
      </c>
      <c r="K1155" s="18" t="s">
        <v>162</v>
      </c>
      <c r="T1155" s="3">
        <f t="shared" si="12"/>
        <v>5</v>
      </c>
      <c r="U1155" s="3">
        <v>6</v>
      </c>
      <c r="V1155" s="3">
        <v>3</v>
      </c>
      <c r="X1155" s="2" t="s">
        <v>103</v>
      </c>
      <c r="Y1155" s="18">
        <v>0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N1155" s="3">
        <f t="shared" si="13"/>
        <v>0</v>
      </c>
      <c r="AO1155" s="3">
        <v>1</v>
      </c>
      <c r="AP1155" s="3">
        <v>0</v>
      </c>
      <c r="AR1155" s="2" t="s">
        <v>1118</v>
      </c>
    </row>
    <row r="1156" spans="1:44" ht="12.75" customHeight="1">
      <c r="A1156" s="8">
        <v>37383</v>
      </c>
      <c r="C1156" s="2" t="s">
        <v>2213</v>
      </c>
      <c r="E1156" s="18">
        <v>3</v>
      </c>
      <c r="F1156" s="18">
        <v>6</v>
      </c>
      <c r="G1156" s="18">
        <v>5</v>
      </c>
      <c r="H1156" s="18">
        <v>3</v>
      </c>
      <c r="I1156" s="18" t="s">
        <v>162</v>
      </c>
      <c r="T1156" s="3">
        <f t="shared" si="12"/>
        <v>17</v>
      </c>
      <c r="U1156" s="3">
        <v>20</v>
      </c>
      <c r="V1156" s="3">
        <v>2</v>
      </c>
      <c r="X1156" s="2" t="s">
        <v>105</v>
      </c>
      <c r="Y1156" s="18">
        <v>0</v>
      </c>
      <c r="Z1156" s="18">
        <v>1</v>
      </c>
      <c r="AA1156" s="18">
        <v>1</v>
      </c>
      <c r="AB1156" s="18">
        <v>1</v>
      </c>
      <c r="AC1156" s="18">
        <v>0</v>
      </c>
      <c r="AN1156" s="3">
        <f t="shared" si="13"/>
        <v>3</v>
      </c>
      <c r="AO1156" s="3">
        <v>5</v>
      </c>
      <c r="AP1156" s="3">
        <v>2</v>
      </c>
      <c r="AR1156" s="2" t="s">
        <v>2381</v>
      </c>
    </row>
    <row r="1157" spans="1:44" ht="12.75" customHeight="1">
      <c r="A1157" s="8">
        <v>37386</v>
      </c>
      <c r="B1157" s="2" t="s">
        <v>152</v>
      </c>
      <c r="C1157" s="2" t="s">
        <v>236</v>
      </c>
      <c r="E1157" s="18">
        <v>2</v>
      </c>
      <c r="F1157" s="18">
        <v>5</v>
      </c>
      <c r="G1157" s="18">
        <v>2</v>
      </c>
      <c r="H1157" s="18">
        <v>4</v>
      </c>
      <c r="I1157" s="18">
        <v>0</v>
      </c>
      <c r="J1157" s="18">
        <v>0</v>
      </c>
      <c r="K1157" s="18">
        <v>0</v>
      </c>
      <c r="T1157" s="3">
        <f t="shared" si="12"/>
        <v>13</v>
      </c>
      <c r="U1157" s="3">
        <v>17</v>
      </c>
      <c r="V1157" s="3">
        <v>0</v>
      </c>
      <c r="X1157" s="2" t="s">
        <v>1111</v>
      </c>
      <c r="Y1157" s="18">
        <v>4</v>
      </c>
      <c r="Z1157" s="18">
        <v>1</v>
      </c>
      <c r="AA1157" s="18">
        <v>2</v>
      </c>
      <c r="AB1157" s="18">
        <v>1</v>
      </c>
      <c r="AC1157" s="18">
        <v>5</v>
      </c>
      <c r="AD1157" s="18">
        <v>0</v>
      </c>
      <c r="AE1157" s="18">
        <v>1</v>
      </c>
      <c r="AN1157" s="3">
        <f t="shared" si="13"/>
        <v>14</v>
      </c>
      <c r="AO1157" s="3">
        <v>13</v>
      </c>
      <c r="AP1157" s="3">
        <v>3</v>
      </c>
      <c r="AR1157" s="2" t="s">
        <v>1119</v>
      </c>
    </row>
    <row r="1158" spans="1:44" ht="12.75" customHeight="1">
      <c r="A1158" s="8">
        <v>37391</v>
      </c>
      <c r="B1158" s="2" t="s">
        <v>152</v>
      </c>
      <c r="C1158" s="2" t="s">
        <v>259</v>
      </c>
      <c r="E1158" s="18">
        <v>0</v>
      </c>
      <c r="F1158" s="18">
        <v>0</v>
      </c>
      <c r="G1158" s="18">
        <v>1</v>
      </c>
      <c r="H1158" s="18">
        <v>1</v>
      </c>
      <c r="I1158" s="18">
        <v>1</v>
      </c>
      <c r="J1158" s="18">
        <v>0</v>
      </c>
      <c r="K1158" s="18">
        <v>3</v>
      </c>
      <c r="T1158" s="3">
        <f t="shared" si="12"/>
        <v>6</v>
      </c>
      <c r="U1158" s="3">
        <v>9</v>
      </c>
      <c r="V1158" s="3">
        <v>2</v>
      </c>
      <c r="X1158" s="2" t="s">
        <v>1112</v>
      </c>
      <c r="Y1158" s="18">
        <v>3</v>
      </c>
      <c r="Z1158" s="18">
        <v>0</v>
      </c>
      <c r="AA1158" s="18">
        <v>1</v>
      </c>
      <c r="AB1158" s="18">
        <v>0</v>
      </c>
      <c r="AC1158" s="18">
        <v>1</v>
      </c>
      <c r="AD1158" s="18">
        <v>1</v>
      </c>
      <c r="AE1158" s="18">
        <v>1</v>
      </c>
      <c r="AN1158" s="3">
        <f t="shared" si="13"/>
        <v>7</v>
      </c>
      <c r="AO1158" s="3">
        <v>9</v>
      </c>
      <c r="AP1158" s="3">
        <v>3</v>
      </c>
      <c r="AR1158" s="2" t="s">
        <v>1120</v>
      </c>
    </row>
    <row r="1159" spans="1:44" ht="12.75" customHeight="1">
      <c r="A1159" s="8">
        <v>37398</v>
      </c>
      <c r="C1159" s="2" t="s">
        <v>183</v>
      </c>
      <c r="D1159" s="2" t="s">
        <v>258</v>
      </c>
      <c r="E1159" s="18">
        <v>0</v>
      </c>
      <c r="F1159" s="18">
        <v>0</v>
      </c>
      <c r="G1159" s="18">
        <v>0</v>
      </c>
      <c r="H1159" s="18">
        <v>0</v>
      </c>
      <c r="I1159" s="18">
        <v>3</v>
      </c>
      <c r="J1159" s="18">
        <v>0</v>
      </c>
      <c r="K1159" s="18">
        <v>0</v>
      </c>
      <c r="T1159" s="3">
        <f t="shared" si="12"/>
        <v>3</v>
      </c>
      <c r="U1159" s="3">
        <v>7</v>
      </c>
      <c r="V1159" s="3">
        <v>1</v>
      </c>
      <c r="X1159" s="2" t="s">
        <v>120</v>
      </c>
      <c r="Y1159" s="18">
        <v>0</v>
      </c>
      <c r="Z1159" s="18">
        <v>0</v>
      </c>
      <c r="AA1159" s="18">
        <v>1</v>
      </c>
      <c r="AB1159" s="18">
        <v>1</v>
      </c>
      <c r="AC1159" s="18">
        <v>0</v>
      </c>
      <c r="AD1159" s="18">
        <v>0</v>
      </c>
      <c r="AE1159" s="18">
        <v>2</v>
      </c>
      <c r="AN1159" s="3">
        <f t="shared" si="13"/>
        <v>4</v>
      </c>
      <c r="AO1159" s="3">
        <v>7</v>
      </c>
      <c r="AP1159" s="3">
        <v>1</v>
      </c>
      <c r="AR1159" s="2" t="s">
        <v>1121</v>
      </c>
    </row>
    <row r="1160" ht="12.75" customHeight="1"/>
    <row r="1161" spans="1:45" ht="12.75" customHeight="1">
      <c r="A1161" s="8">
        <v>37702</v>
      </c>
      <c r="B1161" s="2" t="s">
        <v>152</v>
      </c>
      <c r="C1161" s="2" t="s">
        <v>1910</v>
      </c>
      <c r="E1161" s="18">
        <v>0</v>
      </c>
      <c r="F1161" s="18">
        <v>3</v>
      </c>
      <c r="G1161" s="18">
        <v>0</v>
      </c>
      <c r="H1161" s="18">
        <v>1</v>
      </c>
      <c r="I1161" s="18">
        <v>0</v>
      </c>
      <c r="J1161" s="18">
        <v>6</v>
      </c>
      <c r="K1161" s="18">
        <v>1</v>
      </c>
      <c r="T1161" s="3">
        <f aca="true" t="shared" si="14" ref="T1161:T1179">SUM(E1161:S1161)</f>
        <v>11</v>
      </c>
      <c r="U1161" s="3">
        <v>10</v>
      </c>
      <c r="V1161" s="3">
        <v>3</v>
      </c>
      <c r="X1161" s="2" t="s">
        <v>101</v>
      </c>
      <c r="Y1161" s="18">
        <v>1</v>
      </c>
      <c r="Z1161" s="18">
        <v>0</v>
      </c>
      <c r="AA1161" s="18">
        <v>2</v>
      </c>
      <c r="AB1161" s="18">
        <v>0</v>
      </c>
      <c r="AC1161" s="18">
        <v>1</v>
      </c>
      <c r="AD1161" s="18">
        <v>0</v>
      </c>
      <c r="AE1161" s="18">
        <v>0</v>
      </c>
      <c r="AN1161" s="3">
        <f aca="true" t="shared" si="15" ref="AN1161:AN1179">SUM(Y1161:AM1161)</f>
        <v>4</v>
      </c>
      <c r="AO1161" s="3">
        <v>6</v>
      </c>
      <c r="AP1161" s="3">
        <v>4</v>
      </c>
      <c r="AR1161" s="2" t="s">
        <v>610</v>
      </c>
      <c r="AS1161" s="2" t="s">
        <v>1848</v>
      </c>
    </row>
    <row r="1162" spans="1:46" ht="12.75" customHeight="1">
      <c r="A1162" s="8">
        <v>37707</v>
      </c>
      <c r="C1162" s="2" t="s">
        <v>290</v>
      </c>
      <c r="E1162" s="18">
        <v>0</v>
      </c>
      <c r="F1162" s="18">
        <v>0</v>
      </c>
      <c r="G1162" s="18">
        <v>0</v>
      </c>
      <c r="H1162" s="18">
        <v>4</v>
      </c>
      <c r="I1162" s="18">
        <v>1</v>
      </c>
      <c r="J1162" s="18">
        <v>1</v>
      </c>
      <c r="K1162" s="18" t="s">
        <v>162</v>
      </c>
      <c r="T1162" s="3">
        <f t="shared" si="14"/>
        <v>6</v>
      </c>
      <c r="U1162" s="3">
        <v>6</v>
      </c>
      <c r="V1162" s="3">
        <v>3</v>
      </c>
      <c r="X1162" s="2" t="s">
        <v>101</v>
      </c>
      <c r="Y1162" s="18">
        <v>0</v>
      </c>
      <c r="Z1162" s="18">
        <v>0</v>
      </c>
      <c r="AA1162" s="18">
        <v>0</v>
      </c>
      <c r="AB1162" s="18">
        <v>0</v>
      </c>
      <c r="AC1162" s="18">
        <v>0</v>
      </c>
      <c r="AD1162" s="18">
        <v>2</v>
      </c>
      <c r="AE1162" s="18">
        <v>0</v>
      </c>
      <c r="AN1162" s="3">
        <f t="shared" si="15"/>
        <v>2</v>
      </c>
      <c r="AO1162" s="3">
        <v>3</v>
      </c>
      <c r="AP1162" s="3">
        <v>2</v>
      </c>
      <c r="AR1162" s="2" t="s">
        <v>566</v>
      </c>
      <c r="AS1162" s="2" t="s">
        <v>124</v>
      </c>
      <c r="AT1162" s="2">
        <v>4</v>
      </c>
    </row>
    <row r="1163" spans="1:45" ht="12.75" customHeight="1">
      <c r="A1163" s="8">
        <v>37713</v>
      </c>
      <c r="B1163" s="2" t="s">
        <v>152</v>
      </c>
      <c r="C1163" s="2" t="s">
        <v>392</v>
      </c>
      <c r="E1163" s="18">
        <v>0</v>
      </c>
      <c r="F1163" s="18">
        <v>0</v>
      </c>
      <c r="G1163" s="18">
        <v>0</v>
      </c>
      <c r="H1163" s="18">
        <v>2</v>
      </c>
      <c r="I1163" s="18">
        <v>0</v>
      </c>
      <c r="J1163" s="18">
        <v>0</v>
      </c>
      <c r="K1163" s="18">
        <v>5</v>
      </c>
      <c r="T1163" s="3">
        <f t="shared" si="14"/>
        <v>7</v>
      </c>
      <c r="U1163" s="3">
        <v>10</v>
      </c>
      <c r="V1163" s="3">
        <v>2</v>
      </c>
      <c r="X1163" s="2" t="s">
        <v>576</v>
      </c>
      <c r="Y1163" s="18">
        <v>0</v>
      </c>
      <c r="Z1163" s="18">
        <v>0</v>
      </c>
      <c r="AA1163" s="18">
        <v>2</v>
      </c>
      <c r="AB1163" s="18">
        <v>2</v>
      </c>
      <c r="AC1163" s="18">
        <v>0</v>
      </c>
      <c r="AD1163" s="18">
        <v>0</v>
      </c>
      <c r="AE1163" s="18">
        <v>0</v>
      </c>
      <c r="AN1163" s="3">
        <f t="shared" si="15"/>
        <v>4</v>
      </c>
      <c r="AO1163" s="3">
        <v>4</v>
      </c>
      <c r="AP1163" s="3">
        <v>0</v>
      </c>
      <c r="AR1163" s="2" t="s">
        <v>567</v>
      </c>
      <c r="AS1163" s="2" t="s">
        <v>2330</v>
      </c>
    </row>
    <row r="1164" spans="1:44" ht="12.75" customHeight="1">
      <c r="A1164" s="8">
        <v>37714</v>
      </c>
      <c r="C1164" s="2" t="s">
        <v>174</v>
      </c>
      <c r="E1164" s="18">
        <v>2</v>
      </c>
      <c r="F1164" s="18">
        <v>2</v>
      </c>
      <c r="G1164" s="18">
        <v>2</v>
      </c>
      <c r="H1164" s="18">
        <v>0</v>
      </c>
      <c r="I1164" s="18">
        <v>4</v>
      </c>
      <c r="J1164" s="18">
        <v>0</v>
      </c>
      <c r="K1164" s="18" t="s">
        <v>162</v>
      </c>
      <c r="T1164" s="3">
        <f t="shared" si="14"/>
        <v>10</v>
      </c>
      <c r="U1164" s="3">
        <v>13</v>
      </c>
      <c r="V1164" s="3">
        <v>1</v>
      </c>
      <c r="X1164" s="2" t="s">
        <v>568</v>
      </c>
      <c r="Y1164" s="18">
        <v>1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  <c r="AE1164" s="18">
        <v>0</v>
      </c>
      <c r="AN1164" s="3">
        <f t="shared" si="15"/>
        <v>1</v>
      </c>
      <c r="AO1164" s="3">
        <v>4</v>
      </c>
      <c r="AP1164" s="3">
        <v>4</v>
      </c>
      <c r="AR1164" s="2" t="s">
        <v>569</v>
      </c>
    </row>
    <row r="1165" spans="1:44" ht="12.75" customHeight="1">
      <c r="A1165" s="8">
        <v>37721</v>
      </c>
      <c r="C1165" s="2" t="s">
        <v>137</v>
      </c>
      <c r="E1165" s="18">
        <v>3</v>
      </c>
      <c r="F1165" s="18">
        <v>1</v>
      </c>
      <c r="G1165" s="18">
        <v>6</v>
      </c>
      <c r="H1165" s="18">
        <v>0</v>
      </c>
      <c r="I1165" s="18">
        <v>2</v>
      </c>
      <c r="J1165" s="18">
        <v>3</v>
      </c>
      <c r="T1165" s="3">
        <f t="shared" si="14"/>
        <v>15</v>
      </c>
      <c r="U1165" s="3">
        <v>11</v>
      </c>
      <c r="V1165" s="3">
        <v>2</v>
      </c>
      <c r="X1165" s="2" t="s">
        <v>92</v>
      </c>
      <c r="Y1165" s="18">
        <v>0</v>
      </c>
      <c r="Z1165" s="18">
        <v>0</v>
      </c>
      <c r="AA1165" s="18">
        <v>2</v>
      </c>
      <c r="AB1165" s="18">
        <v>1</v>
      </c>
      <c r="AC1165" s="18">
        <v>2</v>
      </c>
      <c r="AD1165" s="18">
        <v>0</v>
      </c>
      <c r="AN1165" s="3">
        <f t="shared" si="15"/>
        <v>5</v>
      </c>
      <c r="AO1165" s="3">
        <v>8</v>
      </c>
      <c r="AP1165" s="3">
        <v>9</v>
      </c>
      <c r="AR1165" s="2" t="s">
        <v>2390</v>
      </c>
    </row>
    <row r="1166" spans="1:44" ht="12.75" customHeight="1">
      <c r="A1166" s="8">
        <v>37723</v>
      </c>
      <c r="B1166" s="2" t="s">
        <v>152</v>
      </c>
      <c r="C1166" s="2" t="s">
        <v>183</v>
      </c>
      <c r="E1166" s="18">
        <v>3</v>
      </c>
      <c r="F1166" s="18">
        <v>0</v>
      </c>
      <c r="G1166" s="18">
        <v>0</v>
      </c>
      <c r="H1166" s="18">
        <v>0</v>
      </c>
      <c r="I1166" s="18">
        <v>7</v>
      </c>
      <c r="J1166" s="18">
        <v>1</v>
      </c>
      <c r="K1166" s="18">
        <v>1</v>
      </c>
      <c r="T1166" s="3">
        <f t="shared" si="14"/>
        <v>12</v>
      </c>
      <c r="U1166" s="3">
        <v>15</v>
      </c>
      <c r="V1166" s="3">
        <v>1</v>
      </c>
      <c r="X1166" s="2" t="s">
        <v>570</v>
      </c>
      <c r="Y1166" s="18">
        <v>0</v>
      </c>
      <c r="Z1166" s="18">
        <v>2</v>
      </c>
      <c r="AA1166" s="18">
        <v>0</v>
      </c>
      <c r="AB1166" s="18">
        <v>0</v>
      </c>
      <c r="AC1166" s="18">
        <v>0</v>
      </c>
      <c r="AD1166" s="18">
        <v>0</v>
      </c>
      <c r="AE1166" s="18">
        <v>0</v>
      </c>
      <c r="AN1166" s="3">
        <f t="shared" si="15"/>
        <v>2</v>
      </c>
      <c r="AO1166" s="3">
        <v>4</v>
      </c>
      <c r="AP1166" s="3">
        <v>1</v>
      </c>
      <c r="AR1166" s="2" t="s">
        <v>571</v>
      </c>
    </row>
    <row r="1167" spans="1:44" ht="12.75" customHeight="1">
      <c r="A1167" s="8">
        <v>37725</v>
      </c>
      <c r="B1167" s="2" t="s">
        <v>152</v>
      </c>
      <c r="C1167" s="2" t="s">
        <v>168</v>
      </c>
      <c r="E1167" s="18">
        <v>1</v>
      </c>
      <c r="F1167" s="18">
        <v>0</v>
      </c>
      <c r="G1167" s="18">
        <v>0</v>
      </c>
      <c r="H1167" s="18">
        <v>1</v>
      </c>
      <c r="I1167" s="18">
        <v>1</v>
      </c>
      <c r="J1167" s="18">
        <v>0</v>
      </c>
      <c r="K1167" s="18">
        <v>0</v>
      </c>
      <c r="L1167" s="18">
        <v>0</v>
      </c>
      <c r="M1167" s="18">
        <v>2</v>
      </c>
      <c r="T1167" s="3">
        <f t="shared" si="14"/>
        <v>5</v>
      </c>
      <c r="U1167" s="3">
        <v>9</v>
      </c>
      <c r="V1167" s="3">
        <v>6</v>
      </c>
      <c r="X1167" s="2" t="s">
        <v>572</v>
      </c>
      <c r="Y1167" s="18">
        <v>0</v>
      </c>
      <c r="Z1167" s="18">
        <v>2</v>
      </c>
      <c r="AA1167" s="18">
        <v>0</v>
      </c>
      <c r="AB1167" s="18">
        <v>1</v>
      </c>
      <c r="AC1167" s="18">
        <v>0</v>
      </c>
      <c r="AD1167" s="18">
        <v>0</v>
      </c>
      <c r="AE1167" s="18">
        <v>0</v>
      </c>
      <c r="AF1167" s="18">
        <v>0</v>
      </c>
      <c r="AG1167" s="18">
        <v>1</v>
      </c>
      <c r="AN1167" s="3">
        <f t="shared" si="15"/>
        <v>4</v>
      </c>
      <c r="AO1167" s="3">
        <v>6</v>
      </c>
      <c r="AP1167" s="3">
        <v>1</v>
      </c>
      <c r="AR1167" s="2" t="s">
        <v>573</v>
      </c>
    </row>
    <row r="1168" spans="1:44" ht="12.75" customHeight="1">
      <c r="A1168" s="8">
        <v>37728</v>
      </c>
      <c r="C1168" s="2" t="s">
        <v>305</v>
      </c>
      <c r="E1168" s="18">
        <v>0</v>
      </c>
      <c r="F1168" s="18">
        <v>0</v>
      </c>
      <c r="G1168" s="18">
        <v>2</v>
      </c>
      <c r="H1168" s="18">
        <v>6</v>
      </c>
      <c r="I1168" s="18">
        <v>2</v>
      </c>
      <c r="J1168" s="18">
        <v>0</v>
      </c>
      <c r="K1168" s="18" t="s">
        <v>162</v>
      </c>
      <c r="T1168" s="3">
        <f t="shared" si="14"/>
        <v>10</v>
      </c>
      <c r="U1168" s="3">
        <v>12</v>
      </c>
      <c r="V1168" s="3">
        <v>0</v>
      </c>
      <c r="X1168" s="2" t="s">
        <v>20</v>
      </c>
      <c r="Y1168" s="18">
        <v>1</v>
      </c>
      <c r="Z1168" s="18">
        <v>1</v>
      </c>
      <c r="AA1168" s="18">
        <v>2</v>
      </c>
      <c r="AB1168" s="18">
        <v>0</v>
      </c>
      <c r="AC1168" s="18">
        <v>1</v>
      </c>
      <c r="AD1168" s="18">
        <v>1</v>
      </c>
      <c r="AE1168" s="18">
        <v>0</v>
      </c>
      <c r="AN1168" s="3">
        <f t="shared" si="15"/>
        <v>6</v>
      </c>
      <c r="AO1168" s="3">
        <v>7</v>
      </c>
      <c r="AP1168" s="3">
        <v>4</v>
      </c>
      <c r="AR1168" s="2" t="s">
        <v>574</v>
      </c>
    </row>
    <row r="1169" spans="1:44" ht="12.75" customHeight="1">
      <c r="A1169" s="8">
        <v>37730</v>
      </c>
      <c r="B1169" s="2" t="s">
        <v>152</v>
      </c>
      <c r="C1169" s="2" t="s">
        <v>192</v>
      </c>
      <c r="E1169" s="18">
        <v>2</v>
      </c>
      <c r="F1169" s="18">
        <v>3</v>
      </c>
      <c r="G1169" s="18">
        <v>0</v>
      </c>
      <c r="H1169" s="18">
        <v>0</v>
      </c>
      <c r="I1169" s="18">
        <v>1</v>
      </c>
      <c r="J1169" s="18">
        <v>1</v>
      </c>
      <c r="K1169" s="18">
        <v>3</v>
      </c>
      <c r="T1169" s="3">
        <f t="shared" si="14"/>
        <v>10</v>
      </c>
      <c r="U1169" s="3">
        <v>9</v>
      </c>
      <c r="V1169" s="3">
        <v>0</v>
      </c>
      <c r="X1169" s="2" t="s">
        <v>570</v>
      </c>
      <c r="Y1169" s="18">
        <v>1</v>
      </c>
      <c r="Z1169" s="18">
        <v>0</v>
      </c>
      <c r="AA1169" s="18">
        <v>0</v>
      </c>
      <c r="AB1169" s="18">
        <v>1</v>
      </c>
      <c r="AC1169" s="18">
        <v>0</v>
      </c>
      <c r="AD1169" s="18">
        <v>0</v>
      </c>
      <c r="AE1169" s="18">
        <v>0</v>
      </c>
      <c r="AN1169" s="3">
        <f t="shared" si="15"/>
        <v>2</v>
      </c>
      <c r="AO1169" s="3">
        <v>3</v>
      </c>
      <c r="AP1169" s="3">
        <v>3</v>
      </c>
      <c r="AR1169" s="2" t="s">
        <v>575</v>
      </c>
    </row>
    <row r="1170" spans="1:44" ht="12.75" customHeight="1">
      <c r="A1170" s="8">
        <v>37733</v>
      </c>
      <c r="C1170" s="2" t="s">
        <v>367</v>
      </c>
      <c r="E1170" s="18">
        <v>15</v>
      </c>
      <c r="F1170" s="18">
        <v>10</v>
      </c>
      <c r="G1170" s="18" t="s">
        <v>162</v>
      </c>
      <c r="T1170" s="3">
        <f t="shared" si="14"/>
        <v>25</v>
      </c>
      <c r="U1170" s="3">
        <v>11</v>
      </c>
      <c r="V1170" s="3">
        <v>0</v>
      </c>
      <c r="X1170" s="2" t="s">
        <v>577</v>
      </c>
      <c r="Y1170" s="18">
        <v>0</v>
      </c>
      <c r="Z1170" s="18">
        <v>0</v>
      </c>
      <c r="AA1170" s="18">
        <v>0</v>
      </c>
      <c r="AN1170" s="3">
        <f t="shared" si="15"/>
        <v>0</v>
      </c>
      <c r="AO1170" s="3">
        <v>1</v>
      </c>
      <c r="AP1170" s="3">
        <v>4</v>
      </c>
      <c r="AR1170" s="2" t="s">
        <v>578</v>
      </c>
    </row>
    <row r="1171" spans="1:44" ht="12.75" customHeight="1">
      <c r="A1171" s="8">
        <v>37735</v>
      </c>
      <c r="B1171" s="2" t="s">
        <v>152</v>
      </c>
      <c r="C1171" s="2" t="s">
        <v>254</v>
      </c>
      <c r="E1171" s="18">
        <v>1</v>
      </c>
      <c r="F1171" s="18">
        <v>0</v>
      </c>
      <c r="G1171" s="18">
        <v>0</v>
      </c>
      <c r="H1171" s="18">
        <v>0</v>
      </c>
      <c r="I1171" s="18">
        <v>0</v>
      </c>
      <c r="J1171" s="18">
        <v>0</v>
      </c>
      <c r="K1171" s="18">
        <v>2</v>
      </c>
      <c r="L1171" s="18">
        <v>0</v>
      </c>
      <c r="T1171" s="3">
        <f t="shared" si="14"/>
        <v>3</v>
      </c>
      <c r="U1171" s="3">
        <v>7</v>
      </c>
      <c r="V1171" s="3">
        <v>3</v>
      </c>
      <c r="X1171" s="2" t="s">
        <v>579</v>
      </c>
      <c r="Y1171" s="18">
        <v>0</v>
      </c>
      <c r="Z1171" s="18">
        <v>0</v>
      </c>
      <c r="AA1171" s="18">
        <v>1</v>
      </c>
      <c r="AB1171" s="18">
        <v>0</v>
      </c>
      <c r="AC1171" s="18">
        <v>0</v>
      </c>
      <c r="AD1171" s="18">
        <v>2</v>
      </c>
      <c r="AE1171" s="18">
        <v>0</v>
      </c>
      <c r="AF1171" s="18">
        <v>1</v>
      </c>
      <c r="AN1171" s="3">
        <f t="shared" si="15"/>
        <v>4</v>
      </c>
      <c r="AO1171" s="3">
        <v>7</v>
      </c>
      <c r="AP1171" s="3">
        <v>1</v>
      </c>
      <c r="AR1171" s="2" t="s">
        <v>580</v>
      </c>
    </row>
    <row r="1172" spans="1:44" ht="12.75" customHeight="1">
      <c r="A1172" s="8">
        <v>37740</v>
      </c>
      <c r="B1172" s="2" t="s">
        <v>152</v>
      </c>
      <c r="C1172" s="2" t="s">
        <v>175</v>
      </c>
      <c r="E1172" s="18">
        <v>0</v>
      </c>
      <c r="F1172" s="18">
        <v>0</v>
      </c>
      <c r="G1172" s="18">
        <v>0</v>
      </c>
      <c r="H1172" s="18">
        <v>0</v>
      </c>
      <c r="I1172" s="18">
        <v>1</v>
      </c>
      <c r="J1172" s="18">
        <v>0</v>
      </c>
      <c r="K1172" s="18">
        <v>0</v>
      </c>
      <c r="T1172" s="3">
        <f t="shared" si="14"/>
        <v>1</v>
      </c>
      <c r="U1172" s="3">
        <v>6</v>
      </c>
      <c r="V1172" s="3">
        <v>2</v>
      </c>
      <c r="X1172" s="2" t="s">
        <v>576</v>
      </c>
      <c r="Y1172" s="18">
        <v>1</v>
      </c>
      <c r="Z1172" s="18">
        <v>0</v>
      </c>
      <c r="AA1172" s="18">
        <v>1</v>
      </c>
      <c r="AB1172" s="18">
        <v>3</v>
      </c>
      <c r="AC1172" s="18">
        <v>0</v>
      </c>
      <c r="AD1172" s="18">
        <v>0</v>
      </c>
      <c r="AE1172" s="18" t="s">
        <v>162</v>
      </c>
      <c r="AN1172" s="3">
        <f t="shared" si="15"/>
        <v>5</v>
      </c>
      <c r="AO1172" s="3">
        <v>7</v>
      </c>
      <c r="AP1172" s="3">
        <v>0</v>
      </c>
      <c r="AR1172" s="2" t="s">
        <v>581</v>
      </c>
    </row>
    <row r="1173" spans="1:44" ht="12.75" customHeight="1">
      <c r="A1173" s="8">
        <v>37742</v>
      </c>
      <c r="C1173" s="2" t="s">
        <v>374</v>
      </c>
      <c r="E1173" s="18">
        <v>0</v>
      </c>
      <c r="F1173" s="18">
        <v>1</v>
      </c>
      <c r="G1173" s="18">
        <v>0</v>
      </c>
      <c r="H1173" s="18">
        <v>0</v>
      </c>
      <c r="I1173" s="18">
        <v>1</v>
      </c>
      <c r="J1173" s="18">
        <v>5</v>
      </c>
      <c r="K1173" s="18" t="s">
        <v>162</v>
      </c>
      <c r="T1173" s="3">
        <f t="shared" si="14"/>
        <v>7</v>
      </c>
      <c r="U1173" s="3">
        <v>9</v>
      </c>
      <c r="V1173" s="3">
        <v>5</v>
      </c>
      <c r="X1173" s="2" t="s">
        <v>582</v>
      </c>
      <c r="Y1173" s="18">
        <v>1</v>
      </c>
      <c r="Z1173" s="18">
        <v>1</v>
      </c>
      <c r="AA1173" s="18">
        <v>1</v>
      </c>
      <c r="AB1173" s="18">
        <v>0</v>
      </c>
      <c r="AC1173" s="18">
        <v>0</v>
      </c>
      <c r="AD1173" s="18">
        <v>3</v>
      </c>
      <c r="AE1173" s="18">
        <v>0</v>
      </c>
      <c r="AN1173" s="3">
        <f t="shared" si="15"/>
        <v>6</v>
      </c>
      <c r="AO1173" s="3">
        <v>10</v>
      </c>
      <c r="AP1173" s="3">
        <v>3</v>
      </c>
      <c r="AR1173" s="2" t="s">
        <v>583</v>
      </c>
    </row>
    <row r="1174" spans="1:44" ht="12.75" customHeight="1">
      <c r="A1174" s="8">
        <v>37744</v>
      </c>
      <c r="B1174" s="2" t="s">
        <v>152</v>
      </c>
      <c r="C1174" s="2" t="s">
        <v>169</v>
      </c>
      <c r="E1174" s="18">
        <v>2</v>
      </c>
      <c r="F1174" s="18">
        <v>3</v>
      </c>
      <c r="G1174" s="18">
        <v>1</v>
      </c>
      <c r="H1174" s="18">
        <v>0</v>
      </c>
      <c r="I1174" s="18">
        <v>1</v>
      </c>
      <c r="J1174" s="18">
        <v>3</v>
      </c>
      <c r="K1174" s="18">
        <v>2</v>
      </c>
      <c r="T1174" s="3">
        <f t="shared" si="14"/>
        <v>12</v>
      </c>
      <c r="U1174" s="3">
        <v>15</v>
      </c>
      <c r="V1174" s="3">
        <v>0</v>
      </c>
      <c r="X1174" s="2" t="s">
        <v>107</v>
      </c>
      <c r="Y1174" s="18">
        <v>0</v>
      </c>
      <c r="Z1174" s="18">
        <v>0</v>
      </c>
      <c r="AA1174" s="18">
        <v>1</v>
      </c>
      <c r="AB1174" s="18">
        <v>0</v>
      </c>
      <c r="AC1174" s="18">
        <v>0</v>
      </c>
      <c r="AD1174" s="18">
        <v>4</v>
      </c>
      <c r="AE1174" s="18">
        <v>0</v>
      </c>
      <c r="AN1174" s="3">
        <f t="shared" si="15"/>
        <v>5</v>
      </c>
      <c r="AO1174" s="3">
        <v>9</v>
      </c>
      <c r="AP1174" s="3">
        <v>5</v>
      </c>
      <c r="AR1174" s="2" t="s">
        <v>584</v>
      </c>
    </row>
    <row r="1175" spans="1:44" ht="12.75" customHeight="1">
      <c r="A1175" s="8">
        <v>37747</v>
      </c>
      <c r="B1175" s="2" t="s">
        <v>152</v>
      </c>
      <c r="C1175" s="2" t="s">
        <v>2213</v>
      </c>
      <c r="E1175" s="18">
        <v>0</v>
      </c>
      <c r="F1175" s="18">
        <v>0</v>
      </c>
      <c r="G1175" s="18">
        <v>1</v>
      </c>
      <c r="H1175" s="18">
        <v>0</v>
      </c>
      <c r="I1175" s="18">
        <v>2</v>
      </c>
      <c r="J1175" s="18">
        <v>0</v>
      </c>
      <c r="T1175" s="3">
        <f t="shared" si="14"/>
        <v>3</v>
      </c>
      <c r="U1175" s="3">
        <v>8</v>
      </c>
      <c r="V1175" s="3">
        <v>0</v>
      </c>
      <c r="X1175" s="2" t="s">
        <v>585</v>
      </c>
      <c r="Y1175" s="18">
        <v>0</v>
      </c>
      <c r="Z1175" s="18">
        <v>0</v>
      </c>
      <c r="AA1175" s="18">
        <v>0</v>
      </c>
      <c r="AB1175" s="18">
        <v>0</v>
      </c>
      <c r="AC1175" s="18">
        <v>1</v>
      </c>
      <c r="AD1175" s="18">
        <v>0</v>
      </c>
      <c r="AN1175" s="3">
        <f t="shared" si="15"/>
        <v>1</v>
      </c>
      <c r="AO1175" s="3">
        <v>3</v>
      </c>
      <c r="AP1175" s="3">
        <v>0</v>
      </c>
      <c r="AR1175" s="2" t="s">
        <v>586</v>
      </c>
    </row>
    <row r="1176" spans="1:44" ht="12.75" customHeight="1">
      <c r="A1176" s="8">
        <v>37755</v>
      </c>
      <c r="B1176" s="2" t="s">
        <v>152</v>
      </c>
      <c r="C1176" s="2" t="s">
        <v>191</v>
      </c>
      <c r="E1176" s="18">
        <v>1</v>
      </c>
      <c r="F1176" s="18">
        <v>2</v>
      </c>
      <c r="G1176" s="18">
        <v>0</v>
      </c>
      <c r="H1176" s="18">
        <v>0</v>
      </c>
      <c r="I1176" s="18">
        <v>2</v>
      </c>
      <c r="J1176" s="18">
        <v>2</v>
      </c>
      <c r="K1176" s="18">
        <v>0</v>
      </c>
      <c r="T1176" s="3">
        <f t="shared" si="14"/>
        <v>7</v>
      </c>
      <c r="U1176" s="3">
        <v>6</v>
      </c>
      <c r="V1176" s="3">
        <v>1</v>
      </c>
      <c r="X1176" s="2" t="s">
        <v>20</v>
      </c>
      <c r="Y1176" s="18">
        <v>0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  <c r="AE1176" s="18">
        <v>0</v>
      </c>
      <c r="AN1176" s="3">
        <f t="shared" si="15"/>
        <v>0</v>
      </c>
      <c r="AO1176" s="3">
        <v>2</v>
      </c>
      <c r="AP1176" s="3">
        <v>1</v>
      </c>
      <c r="AR1176" s="2" t="s">
        <v>587</v>
      </c>
    </row>
    <row r="1177" spans="1:44" ht="12.75" customHeight="1">
      <c r="A1177" s="8">
        <v>37756</v>
      </c>
      <c r="C1177" s="2" t="s">
        <v>259</v>
      </c>
      <c r="E1177" s="18">
        <v>0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2</v>
      </c>
      <c r="T1177" s="3">
        <f t="shared" si="14"/>
        <v>2</v>
      </c>
      <c r="U1177" s="3">
        <v>6</v>
      </c>
      <c r="V1177" s="3">
        <v>2</v>
      </c>
      <c r="X1177" s="2" t="s">
        <v>588</v>
      </c>
      <c r="Y1177" s="18">
        <v>0</v>
      </c>
      <c r="Z1177" s="18">
        <v>0</v>
      </c>
      <c r="AA1177" s="18">
        <v>2</v>
      </c>
      <c r="AB1177" s="18">
        <v>5</v>
      </c>
      <c r="AC1177" s="18">
        <v>0</v>
      </c>
      <c r="AD1177" s="18">
        <v>0</v>
      </c>
      <c r="AE1177" s="18">
        <v>0</v>
      </c>
      <c r="AN1177" s="3">
        <f t="shared" si="15"/>
        <v>7</v>
      </c>
      <c r="AO1177" s="3">
        <v>5</v>
      </c>
      <c r="AP1177" s="3">
        <v>0</v>
      </c>
      <c r="AR1177" s="2" t="s">
        <v>589</v>
      </c>
    </row>
    <row r="1178" spans="1:44" ht="12.75" customHeight="1">
      <c r="A1178" s="8">
        <v>37770</v>
      </c>
      <c r="B1178" s="2" t="s">
        <v>239</v>
      </c>
      <c r="C1178" s="2" t="s">
        <v>138</v>
      </c>
      <c r="D1178" s="2" t="s">
        <v>258</v>
      </c>
      <c r="E1178" s="18">
        <v>1</v>
      </c>
      <c r="F1178" s="18">
        <v>0</v>
      </c>
      <c r="G1178" s="18">
        <v>2</v>
      </c>
      <c r="H1178" s="18">
        <v>0</v>
      </c>
      <c r="I1178" s="18">
        <v>1</v>
      </c>
      <c r="J1178" s="18">
        <v>0</v>
      </c>
      <c r="K1178" s="18" t="s">
        <v>162</v>
      </c>
      <c r="T1178" s="3">
        <f t="shared" si="14"/>
        <v>4</v>
      </c>
      <c r="U1178" s="3">
        <v>11</v>
      </c>
      <c r="V1178" s="3">
        <v>1</v>
      </c>
      <c r="X1178" s="2" t="s">
        <v>20</v>
      </c>
      <c r="Y1178" s="18">
        <v>1</v>
      </c>
      <c r="Z1178" s="18">
        <v>0</v>
      </c>
      <c r="AA1178" s="18">
        <v>1</v>
      </c>
      <c r="AB1178" s="18">
        <v>0</v>
      </c>
      <c r="AC1178" s="18">
        <v>1</v>
      </c>
      <c r="AD1178" s="18">
        <v>0</v>
      </c>
      <c r="AE1178" s="18">
        <v>0</v>
      </c>
      <c r="AN1178" s="3">
        <f t="shared" si="15"/>
        <v>3</v>
      </c>
      <c r="AO1178" s="3">
        <v>8</v>
      </c>
      <c r="AP1178" s="3">
        <v>2</v>
      </c>
      <c r="AR1178" s="2" t="s">
        <v>590</v>
      </c>
    </row>
    <row r="1179" spans="1:44" ht="12.75" customHeight="1">
      <c r="A1179" s="8">
        <v>37774</v>
      </c>
      <c r="B1179" s="2" t="s">
        <v>239</v>
      </c>
      <c r="C1179" s="2" t="s">
        <v>175</v>
      </c>
      <c r="D1179" s="2" t="s">
        <v>260</v>
      </c>
      <c r="E1179" s="18">
        <v>0</v>
      </c>
      <c r="F1179" s="18">
        <v>0</v>
      </c>
      <c r="G1179" s="18">
        <v>0</v>
      </c>
      <c r="H1179" s="18">
        <v>1</v>
      </c>
      <c r="I1179" s="18">
        <v>0</v>
      </c>
      <c r="T1179" s="3">
        <f t="shared" si="14"/>
        <v>1</v>
      </c>
      <c r="U1179" s="3">
        <v>3</v>
      </c>
      <c r="V1179" s="3">
        <v>1</v>
      </c>
      <c r="X1179" s="2" t="s">
        <v>591</v>
      </c>
      <c r="Y1179" s="18">
        <v>0</v>
      </c>
      <c r="Z1179" s="18">
        <v>1</v>
      </c>
      <c r="AA1179" s="18">
        <v>1</v>
      </c>
      <c r="AB1179" s="18">
        <v>5</v>
      </c>
      <c r="AC1179" s="18">
        <v>4</v>
      </c>
      <c r="AN1179" s="3">
        <f t="shared" si="15"/>
        <v>11</v>
      </c>
      <c r="AO1179" s="3">
        <v>8</v>
      </c>
      <c r="AP1179" s="3">
        <v>1</v>
      </c>
      <c r="AR1179" s="2" t="s">
        <v>581</v>
      </c>
    </row>
    <row r="1180" ht="12.75" customHeight="1"/>
    <row r="1181" spans="1:45" ht="12.75" customHeight="1">
      <c r="A1181" s="8">
        <v>38073</v>
      </c>
      <c r="B1181" s="2" t="s">
        <v>152</v>
      </c>
      <c r="C1181" s="2" t="s">
        <v>1910</v>
      </c>
      <c r="E1181" s="18">
        <v>0</v>
      </c>
      <c r="F1181" s="18">
        <v>2</v>
      </c>
      <c r="G1181" s="18">
        <v>1</v>
      </c>
      <c r="H1181" s="18">
        <v>1</v>
      </c>
      <c r="I1181" s="18">
        <v>1</v>
      </c>
      <c r="J1181" s="18">
        <v>0</v>
      </c>
      <c r="K1181" s="18">
        <v>0</v>
      </c>
      <c r="T1181" s="3">
        <f aca="true" t="shared" si="16" ref="T1181:T1243">SUM(E1181:S1181)</f>
        <v>5</v>
      </c>
      <c r="U1181" s="3">
        <v>10</v>
      </c>
      <c r="V1181" s="3">
        <v>2</v>
      </c>
      <c r="X1181" s="2" t="s">
        <v>594</v>
      </c>
      <c r="Y1181" s="18">
        <v>0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N1181" s="3">
        <f aca="true" t="shared" si="17" ref="AN1181:AN1243">SUM(Y1181:AM1181)</f>
        <v>0</v>
      </c>
      <c r="AO1181" s="3">
        <v>1</v>
      </c>
      <c r="AP1181" s="3">
        <v>1</v>
      </c>
      <c r="AR1181" s="2" t="s">
        <v>508</v>
      </c>
      <c r="AS1181" s="2" t="s">
        <v>1848</v>
      </c>
    </row>
    <row r="1182" spans="1:46" ht="12.75" customHeight="1">
      <c r="A1182" s="5">
        <v>38083</v>
      </c>
      <c r="B1182" s="2" t="s">
        <v>152</v>
      </c>
      <c r="C1182" s="2" t="s">
        <v>174</v>
      </c>
      <c r="E1182" s="18">
        <v>2</v>
      </c>
      <c r="F1182" s="18">
        <v>0</v>
      </c>
      <c r="G1182" s="18">
        <v>4</v>
      </c>
      <c r="H1182" s="18">
        <v>0</v>
      </c>
      <c r="I1182" s="18">
        <v>4</v>
      </c>
      <c r="J1182" s="18">
        <v>1</v>
      </c>
      <c r="K1182" s="18">
        <v>1</v>
      </c>
      <c r="T1182" s="3">
        <f t="shared" si="16"/>
        <v>12</v>
      </c>
      <c r="U1182" s="3">
        <v>15</v>
      </c>
      <c r="V1182" s="3">
        <v>1</v>
      </c>
      <c r="X1182" s="2" t="s">
        <v>507</v>
      </c>
      <c r="Y1182" s="18">
        <v>0</v>
      </c>
      <c r="Z1182" s="18">
        <v>3</v>
      </c>
      <c r="AA1182" s="18">
        <v>1</v>
      </c>
      <c r="AB1182" s="18">
        <v>0</v>
      </c>
      <c r="AC1182" s="18">
        <v>0</v>
      </c>
      <c r="AD1182" s="18">
        <v>1</v>
      </c>
      <c r="AE1182" s="18">
        <v>0</v>
      </c>
      <c r="AN1182" s="3">
        <f t="shared" si="17"/>
        <v>5</v>
      </c>
      <c r="AO1182" s="3">
        <v>7</v>
      </c>
      <c r="AP1182" s="3">
        <v>4</v>
      </c>
      <c r="AR1182" s="2" t="s">
        <v>509</v>
      </c>
      <c r="AS1182" s="2" t="s">
        <v>250</v>
      </c>
      <c r="AT1182" s="2">
        <v>7</v>
      </c>
    </row>
    <row r="1183" spans="1:44" ht="12.75" customHeight="1">
      <c r="A1183" s="8">
        <v>38092</v>
      </c>
      <c r="B1183" s="2" t="s">
        <v>152</v>
      </c>
      <c r="C1183" s="2" t="s">
        <v>137</v>
      </c>
      <c r="E1183" s="18">
        <v>0</v>
      </c>
      <c r="F1183" s="18">
        <v>0</v>
      </c>
      <c r="G1183" s="18">
        <v>0</v>
      </c>
      <c r="H1183" s="18">
        <v>3</v>
      </c>
      <c r="I1183" s="18">
        <v>0</v>
      </c>
      <c r="J1183" s="18">
        <v>0</v>
      </c>
      <c r="K1183" s="18">
        <v>1</v>
      </c>
      <c r="T1183" s="3">
        <f t="shared" si="16"/>
        <v>4</v>
      </c>
      <c r="U1183" s="3">
        <v>6</v>
      </c>
      <c r="V1183" s="3">
        <v>1</v>
      </c>
      <c r="X1183" s="2" t="s">
        <v>510</v>
      </c>
      <c r="Y1183" s="18">
        <v>0</v>
      </c>
      <c r="Z1183" s="18">
        <v>0</v>
      </c>
      <c r="AA1183" s="18">
        <v>1</v>
      </c>
      <c r="AB1183" s="18">
        <v>2</v>
      </c>
      <c r="AC1183" s="18">
        <v>0</v>
      </c>
      <c r="AD1183" s="18">
        <v>4</v>
      </c>
      <c r="AN1183" s="3">
        <f t="shared" si="17"/>
        <v>7</v>
      </c>
      <c r="AO1183" s="3">
        <v>11</v>
      </c>
      <c r="AP1183" s="3">
        <v>3</v>
      </c>
      <c r="AR1183" s="2" t="s">
        <v>511</v>
      </c>
    </row>
    <row r="1184" spans="1:44" ht="12.75" customHeight="1">
      <c r="A1184" s="5">
        <v>38093</v>
      </c>
      <c r="C1184" s="2" t="s">
        <v>392</v>
      </c>
      <c r="E1184" s="18">
        <v>2</v>
      </c>
      <c r="F1184" s="18">
        <v>0</v>
      </c>
      <c r="G1184" s="18">
        <v>0</v>
      </c>
      <c r="H1184" s="18">
        <v>1</v>
      </c>
      <c r="I1184" s="18">
        <v>0</v>
      </c>
      <c r="J1184" s="18">
        <v>0</v>
      </c>
      <c r="K1184" s="18">
        <v>0</v>
      </c>
      <c r="T1184" s="3">
        <f t="shared" si="16"/>
        <v>3</v>
      </c>
      <c r="U1184" s="3">
        <v>3</v>
      </c>
      <c r="V1184" s="3">
        <v>2</v>
      </c>
      <c r="X1184" s="2" t="s">
        <v>512</v>
      </c>
      <c r="Y1184" s="18">
        <v>0</v>
      </c>
      <c r="Z1184" s="18">
        <v>1</v>
      </c>
      <c r="AA1184" s="18">
        <v>0</v>
      </c>
      <c r="AB1184" s="18">
        <v>1</v>
      </c>
      <c r="AC1184" s="18">
        <v>0</v>
      </c>
      <c r="AD1184" s="18">
        <v>3</v>
      </c>
      <c r="AE1184" s="18">
        <v>0</v>
      </c>
      <c r="AN1184" s="3">
        <f t="shared" si="17"/>
        <v>5</v>
      </c>
      <c r="AO1184" s="3">
        <v>8</v>
      </c>
      <c r="AP1184" s="3">
        <v>0</v>
      </c>
      <c r="AR1184" s="2" t="s">
        <v>513</v>
      </c>
    </row>
    <row r="1185" spans="1:44" ht="12.75" customHeight="1">
      <c r="A1185" s="5">
        <v>38094</v>
      </c>
      <c r="B1185" s="2" t="s">
        <v>152</v>
      </c>
      <c r="C1185" s="2" t="s">
        <v>2220</v>
      </c>
      <c r="E1185" s="18">
        <v>3</v>
      </c>
      <c r="F1185" s="18">
        <v>0</v>
      </c>
      <c r="G1185" s="18">
        <v>2</v>
      </c>
      <c r="H1185" s="18">
        <v>2</v>
      </c>
      <c r="I1185" s="18">
        <v>6</v>
      </c>
      <c r="T1185" s="3">
        <f t="shared" si="16"/>
        <v>13</v>
      </c>
      <c r="U1185" s="3">
        <v>10</v>
      </c>
      <c r="V1185" s="3">
        <v>7</v>
      </c>
      <c r="X1185" s="2" t="s">
        <v>515</v>
      </c>
      <c r="Y1185" s="18">
        <v>0</v>
      </c>
      <c r="Z1185" s="18">
        <v>1</v>
      </c>
      <c r="AA1185" s="18">
        <v>0</v>
      </c>
      <c r="AB1185" s="18">
        <v>0</v>
      </c>
      <c r="AC1185" s="18">
        <v>2</v>
      </c>
      <c r="AN1185" s="3">
        <f t="shared" si="17"/>
        <v>3</v>
      </c>
      <c r="AO1185" s="3">
        <v>1</v>
      </c>
      <c r="AP1185" s="3">
        <v>4</v>
      </c>
      <c r="AR1185" s="2" t="s">
        <v>514</v>
      </c>
    </row>
    <row r="1186" spans="1:44" ht="12.75" customHeight="1">
      <c r="A1186" s="5">
        <v>38094</v>
      </c>
      <c r="B1186" s="2" t="s">
        <v>152</v>
      </c>
      <c r="C1186" s="2" t="s">
        <v>2220</v>
      </c>
      <c r="E1186" s="18">
        <v>2</v>
      </c>
      <c r="F1186" s="18">
        <v>2</v>
      </c>
      <c r="G1186" s="18">
        <v>0</v>
      </c>
      <c r="H1186" s="18">
        <v>4</v>
      </c>
      <c r="I1186" s="18">
        <v>2</v>
      </c>
      <c r="T1186" s="3">
        <f t="shared" si="16"/>
        <v>10</v>
      </c>
      <c r="U1186" s="3">
        <v>9</v>
      </c>
      <c r="V1186" s="3">
        <v>0</v>
      </c>
      <c r="X1186" s="2" t="s">
        <v>1683</v>
      </c>
      <c r="Y1186" s="18">
        <v>0</v>
      </c>
      <c r="Z1186" s="18">
        <v>0</v>
      </c>
      <c r="AA1186" s="18">
        <v>0</v>
      </c>
      <c r="AB1186" s="18">
        <v>0</v>
      </c>
      <c r="AC1186" s="18">
        <v>0</v>
      </c>
      <c r="AN1186" s="3">
        <f t="shared" si="17"/>
        <v>0</v>
      </c>
      <c r="AO1186" s="3">
        <v>0</v>
      </c>
      <c r="AP1186" s="3">
        <v>2</v>
      </c>
      <c r="AR1186" s="2" t="s">
        <v>516</v>
      </c>
    </row>
    <row r="1187" spans="1:44" ht="12.75" customHeight="1">
      <c r="A1187" s="5">
        <v>38096</v>
      </c>
      <c r="B1187" s="2" t="s">
        <v>152</v>
      </c>
      <c r="C1187" s="2" t="s">
        <v>183</v>
      </c>
      <c r="E1187" s="18">
        <v>1</v>
      </c>
      <c r="F1187" s="18">
        <v>0</v>
      </c>
      <c r="G1187" s="18">
        <v>0</v>
      </c>
      <c r="H1187" s="18">
        <v>3</v>
      </c>
      <c r="I1187" s="18">
        <v>3</v>
      </c>
      <c r="J1187" s="18">
        <v>0</v>
      </c>
      <c r="K1187" s="18">
        <v>1</v>
      </c>
      <c r="T1187" s="3">
        <f t="shared" si="16"/>
        <v>8</v>
      </c>
      <c r="U1187" s="3">
        <v>15</v>
      </c>
      <c r="V1187" s="3">
        <v>3</v>
      </c>
      <c r="X1187" s="2" t="s">
        <v>517</v>
      </c>
      <c r="Y1187" s="18">
        <v>2</v>
      </c>
      <c r="Z1187" s="18">
        <v>2</v>
      </c>
      <c r="AA1187" s="18">
        <v>1</v>
      </c>
      <c r="AB1187" s="18">
        <v>2</v>
      </c>
      <c r="AC1187" s="18">
        <v>4</v>
      </c>
      <c r="AD1187" s="18">
        <v>4</v>
      </c>
      <c r="AE1187" s="18" t="s">
        <v>162</v>
      </c>
      <c r="AN1187" s="3">
        <f t="shared" si="17"/>
        <v>15</v>
      </c>
      <c r="AO1187" s="3">
        <v>14</v>
      </c>
      <c r="AP1187" s="3">
        <v>1</v>
      </c>
      <c r="AR1187" s="2" t="s">
        <v>518</v>
      </c>
    </row>
    <row r="1188" spans="1:44" ht="12.75" customHeight="1">
      <c r="A1188" s="5">
        <v>38098</v>
      </c>
      <c r="B1188" s="2" t="s">
        <v>152</v>
      </c>
      <c r="C1188" s="2" t="s">
        <v>305</v>
      </c>
      <c r="E1188" s="18">
        <v>0</v>
      </c>
      <c r="F1188" s="18">
        <v>3</v>
      </c>
      <c r="G1188" s="18">
        <v>0</v>
      </c>
      <c r="H1188" s="18">
        <v>1</v>
      </c>
      <c r="I1188" s="18">
        <v>0</v>
      </c>
      <c r="T1188" s="3">
        <f t="shared" si="16"/>
        <v>4</v>
      </c>
      <c r="U1188" s="3">
        <v>7</v>
      </c>
      <c r="V1188" s="3">
        <v>3</v>
      </c>
      <c r="X1188" s="2" t="s">
        <v>519</v>
      </c>
      <c r="Y1188" s="18">
        <v>6</v>
      </c>
      <c r="Z1188" s="18">
        <v>2</v>
      </c>
      <c r="AA1188" s="18">
        <v>2</v>
      </c>
      <c r="AB1188" s="18">
        <v>0</v>
      </c>
      <c r="AC1188" s="18">
        <v>4</v>
      </c>
      <c r="AN1188" s="3">
        <f t="shared" si="17"/>
        <v>14</v>
      </c>
      <c r="AO1188" s="3">
        <v>17</v>
      </c>
      <c r="AP1188" s="3">
        <v>2</v>
      </c>
      <c r="AR1188" s="2" t="s">
        <v>520</v>
      </c>
    </row>
    <row r="1189" spans="1:44" ht="12.75" customHeight="1">
      <c r="A1189" s="5">
        <v>38101</v>
      </c>
      <c r="C1189" s="2" t="s">
        <v>192</v>
      </c>
      <c r="E1189" s="18">
        <v>0</v>
      </c>
      <c r="F1189" s="18">
        <v>1</v>
      </c>
      <c r="G1189" s="18">
        <v>1</v>
      </c>
      <c r="H1189" s="18">
        <v>5</v>
      </c>
      <c r="I1189" s="18">
        <v>0</v>
      </c>
      <c r="J1189" s="18">
        <v>1</v>
      </c>
      <c r="K1189" s="18" t="s">
        <v>162</v>
      </c>
      <c r="T1189" s="3">
        <f t="shared" si="16"/>
        <v>8</v>
      </c>
      <c r="U1189" s="3">
        <v>13</v>
      </c>
      <c r="V1189" s="3">
        <v>0</v>
      </c>
      <c r="X1189" s="2" t="s">
        <v>570</v>
      </c>
      <c r="Y1189" s="18">
        <v>0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  <c r="AE1189" s="18">
        <v>0</v>
      </c>
      <c r="AN1189" s="3">
        <f t="shared" si="17"/>
        <v>0</v>
      </c>
      <c r="AO1189" s="3">
        <v>4</v>
      </c>
      <c r="AP1189" s="3">
        <v>2</v>
      </c>
      <c r="AR1189" s="2" t="s">
        <v>521</v>
      </c>
    </row>
    <row r="1190" spans="1:44" ht="12.75" customHeight="1">
      <c r="A1190" s="5">
        <v>38104</v>
      </c>
      <c r="C1190" s="2" t="s">
        <v>254</v>
      </c>
      <c r="E1190" s="18">
        <v>0</v>
      </c>
      <c r="F1190" s="18">
        <v>0</v>
      </c>
      <c r="G1190" s="18">
        <v>0</v>
      </c>
      <c r="H1190" s="18">
        <v>0</v>
      </c>
      <c r="I1190" s="18">
        <v>1</v>
      </c>
      <c r="J1190" s="18">
        <v>1</v>
      </c>
      <c r="K1190" s="18">
        <v>0</v>
      </c>
      <c r="T1190" s="3">
        <f t="shared" si="16"/>
        <v>2</v>
      </c>
      <c r="U1190" s="3">
        <v>6</v>
      </c>
      <c r="V1190" s="3">
        <v>1</v>
      </c>
      <c r="X1190" s="2" t="s">
        <v>522</v>
      </c>
      <c r="Y1190" s="18">
        <v>0</v>
      </c>
      <c r="Z1190" s="18">
        <v>0</v>
      </c>
      <c r="AA1190" s="18">
        <v>0</v>
      </c>
      <c r="AB1190" s="18">
        <v>2</v>
      </c>
      <c r="AC1190" s="18">
        <v>1</v>
      </c>
      <c r="AD1190" s="18">
        <v>1</v>
      </c>
      <c r="AE1190" s="18">
        <v>1</v>
      </c>
      <c r="AN1190" s="3">
        <f t="shared" si="17"/>
        <v>5</v>
      </c>
      <c r="AO1190" s="3">
        <v>10</v>
      </c>
      <c r="AP1190" s="3">
        <v>2</v>
      </c>
      <c r="AR1190" s="2" t="s">
        <v>523</v>
      </c>
    </row>
    <row r="1191" spans="1:44" ht="12.75" customHeight="1">
      <c r="A1191" s="5">
        <v>38105</v>
      </c>
      <c r="C1191" s="2" t="s">
        <v>168</v>
      </c>
      <c r="E1191" s="18">
        <v>2</v>
      </c>
      <c r="F1191" s="18">
        <v>4</v>
      </c>
      <c r="G1191" s="18">
        <v>0</v>
      </c>
      <c r="H1191" s="18">
        <v>2</v>
      </c>
      <c r="I1191" s="18">
        <v>5</v>
      </c>
      <c r="J1191" s="18">
        <v>0</v>
      </c>
      <c r="K1191" s="18" t="s">
        <v>162</v>
      </c>
      <c r="T1191" s="3">
        <f t="shared" si="16"/>
        <v>13</v>
      </c>
      <c r="U1191" s="3">
        <v>12</v>
      </c>
      <c r="V1191" s="3">
        <v>3</v>
      </c>
      <c r="X1191" s="2" t="s">
        <v>524</v>
      </c>
      <c r="Y1191" s="18">
        <v>0</v>
      </c>
      <c r="Z1191" s="18">
        <v>3</v>
      </c>
      <c r="AA1191" s="18">
        <v>4</v>
      </c>
      <c r="AB1191" s="18">
        <v>0</v>
      </c>
      <c r="AC1191" s="18">
        <v>0</v>
      </c>
      <c r="AD1191" s="18">
        <v>0</v>
      </c>
      <c r="AE1191" s="18">
        <v>0</v>
      </c>
      <c r="AN1191" s="3">
        <f t="shared" si="17"/>
        <v>7</v>
      </c>
      <c r="AO1191" s="3">
        <v>8</v>
      </c>
      <c r="AP1191" s="3">
        <v>5</v>
      </c>
      <c r="AR1191" s="2" t="s">
        <v>525</v>
      </c>
    </row>
    <row r="1192" spans="1:44" ht="12.75" customHeight="1">
      <c r="A1192" s="5">
        <v>38106</v>
      </c>
      <c r="C1192" s="2" t="s">
        <v>175</v>
      </c>
      <c r="E1192" s="18">
        <v>2</v>
      </c>
      <c r="F1192" s="18">
        <v>0</v>
      </c>
      <c r="G1192" s="18">
        <v>0</v>
      </c>
      <c r="H1192" s="18">
        <v>0</v>
      </c>
      <c r="I1192" s="18">
        <v>0</v>
      </c>
      <c r="J1192" s="18">
        <v>1</v>
      </c>
      <c r="K1192" s="18">
        <v>1</v>
      </c>
      <c r="T1192" s="3">
        <f t="shared" si="16"/>
        <v>4</v>
      </c>
      <c r="U1192" s="3">
        <v>8</v>
      </c>
      <c r="V1192" s="3">
        <v>1</v>
      </c>
      <c r="X1192" s="2" t="s">
        <v>527</v>
      </c>
      <c r="Y1192" s="18">
        <v>1</v>
      </c>
      <c r="Z1192" s="18">
        <v>1</v>
      </c>
      <c r="AA1192" s="18">
        <v>0</v>
      </c>
      <c r="AB1192" s="18">
        <v>4</v>
      </c>
      <c r="AC1192" s="18">
        <v>0</v>
      </c>
      <c r="AD1192" s="18">
        <v>1</v>
      </c>
      <c r="AE1192" s="18">
        <v>1</v>
      </c>
      <c r="AN1192" s="3">
        <f t="shared" si="17"/>
        <v>8</v>
      </c>
      <c r="AO1192" s="3">
        <v>13</v>
      </c>
      <c r="AP1192" s="3">
        <v>3</v>
      </c>
      <c r="AR1192" s="2" t="s">
        <v>526</v>
      </c>
    </row>
    <row r="1193" spans="1:44" ht="12.75" customHeight="1">
      <c r="A1193" s="5">
        <v>38110</v>
      </c>
      <c r="B1193" s="2" t="s">
        <v>152</v>
      </c>
      <c r="C1193" s="2" t="s">
        <v>374</v>
      </c>
      <c r="E1193" s="18">
        <v>0</v>
      </c>
      <c r="F1193" s="18">
        <v>5</v>
      </c>
      <c r="G1193" s="18">
        <v>0</v>
      </c>
      <c r="H1193" s="18">
        <v>0</v>
      </c>
      <c r="I1193" s="18">
        <v>3</v>
      </c>
      <c r="J1193" s="18">
        <v>5</v>
      </c>
      <c r="K1193" s="18">
        <v>3</v>
      </c>
      <c r="T1193" s="3">
        <f t="shared" si="16"/>
        <v>16</v>
      </c>
      <c r="U1193" s="3">
        <v>13</v>
      </c>
      <c r="V1193" s="3">
        <v>0</v>
      </c>
      <c r="X1193" s="2" t="s">
        <v>528</v>
      </c>
      <c r="Y1193" s="18">
        <v>0</v>
      </c>
      <c r="Z1193" s="18">
        <v>0</v>
      </c>
      <c r="AA1193" s="18">
        <v>0</v>
      </c>
      <c r="AB1193" s="18">
        <v>2</v>
      </c>
      <c r="AC1193" s="18">
        <v>2</v>
      </c>
      <c r="AD1193" s="18">
        <v>0</v>
      </c>
      <c r="AE1193" s="18">
        <v>1</v>
      </c>
      <c r="AN1193" s="3">
        <f t="shared" si="17"/>
        <v>5</v>
      </c>
      <c r="AO1193" s="3">
        <v>9</v>
      </c>
      <c r="AP1193" s="3">
        <v>2</v>
      </c>
      <c r="AR1193" s="2" t="s">
        <v>531</v>
      </c>
    </row>
    <row r="1194" spans="1:44" ht="12.75" customHeight="1">
      <c r="A1194" s="5">
        <v>38111</v>
      </c>
      <c r="B1194" s="2" t="s">
        <v>152</v>
      </c>
      <c r="C1194" s="2" t="s">
        <v>138</v>
      </c>
      <c r="E1194" s="18">
        <v>0</v>
      </c>
      <c r="F1194" s="18">
        <v>2</v>
      </c>
      <c r="G1194" s="18">
        <v>0</v>
      </c>
      <c r="H1194" s="18">
        <v>0</v>
      </c>
      <c r="I1194" s="18">
        <v>4</v>
      </c>
      <c r="J1194" s="18">
        <v>4</v>
      </c>
      <c r="K1194" s="18">
        <v>6</v>
      </c>
      <c r="T1194" s="3">
        <f t="shared" si="16"/>
        <v>16</v>
      </c>
      <c r="U1194" s="3">
        <v>16</v>
      </c>
      <c r="V1194" s="3">
        <v>4</v>
      </c>
      <c r="X1194" s="2" t="s">
        <v>604</v>
      </c>
      <c r="Y1194" s="18">
        <v>0</v>
      </c>
      <c r="Z1194" s="18">
        <v>2</v>
      </c>
      <c r="AA1194" s="18">
        <v>5</v>
      </c>
      <c r="AB1194" s="18">
        <v>1</v>
      </c>
      <c r="AC1194" s="18">
        <v>6</v>
      </c>
      <c r="AD1194" s="18">
        <v>0</v>
      </c>
      <c r="AE1194" s="18">
        <v>0</v>
      </c>
      <c r="AN1194" s="3">
        <f t="shared" si="17"/>
        <v>14</v>
      </c>
      <c r="AO1194" s="3">
        <v>13</v>
      </c>
      <c r="AP1194" s="3">
        <v>3</v>
      </c>
      <c r="AR1194" s="2" t="s">
        <v>603</v>
      </c>
    </row>
    <row r="1195" spans="1:44" ht="12.75" customHeight="1">
      <c r="A1195" s="5">
        <v>38114</v>
      </c>
      <c r="C1195" s="2" t="s">
        <v>2213</v>
      </c>
      <c r="E1195" s="18">
        <v>0</v>
      </c>
      <c r="F1195" s="18">
        <v>1</v>
      </c>
      <c r="G1195" s="18">
        <v>0</v>
      </c>
      <c r="H1195" s="18">
        <v>2</v>
      </c>
      <c r="I1195" s="18">
        <v>0</v>
      </c>
      <c r="J1195" s="18">
        <v>0</v>
      </c>
      <c r="K1195" s="18">
        <v>1</v>
      </c>
      <c r="T1195" s="3">
        <f t="shared" si="16"/>
        <v>4</v>
      </c>
      <c r="U1195" s="3">
        <v>9</v>
      </c>
      <c r="V1195" s="3">
        <v>5</v>
      </c>
      <c r="X1195" s="2" t="s">
        <v>601</v>
      </c>
      <c r="Y1195" s="18">
        <v>0</v>
      </c>
      <c r="Z1195" s="18">
        <v>0</v>
      </c>
      <c r="AA1195" s="18">
        <v>0</v>
      </c>
      <c r="AB1195" s="18">
        <v>0</v>
      </c>
      <c r="AC1195" s="18">
        <v>2</v>
      </c>
      <c r="AD1195" s="18">
        <v>1</v>
      </c>
      <c r="AE1195" s="18">
        <v>0</v>
      </c>
      <c r="AN1195" s="3">
        <f t="shared" si="17"/>
        <v>3</v>
      </c>
      <c r="AO1195" s="3">
        <v>5</v>
      </c>
      <c r="AP1195" s="3">
        <v>1</v>
      </c>
      <c r="AR1195" s="2" t="s">
        <v>602</v>
      </c>
    </row>
    <row r="1196" spans="1:44" ht="12.75" customHeight="1">
      <c r="A1196" s="5">
        <v>38117</v>
      </c>
      <c r="B1196" s="2" t="s">
        <v>152</v>
      </c>
      <c r="C1196" s="2" t="s">
        <v>236</v>
      </c>
      <c r="E1196" s="18">
        <v>0</v>
      </c>
      <c r="F1196" s="18">
        <v>1</v>
      </c>
      <c r="G1196" s="18">
        <v>1</v>
      </c>
      <c r="H1196" s="18">
        <v>3</v>
      </c>
      <c r="I1196" s="18">
        <v>1</v>
      </c>
      <c r="J1196" s="18">
        <v>2</v>
      </c>
      <c r="K1196" s="18">
        <v>2</v>
      </c>
      <c r="T1196" s="3">
        <f t="shared" si="16"/>
        <v>10</v>
      </c>
      <c r="U1196" s="3">
        <v>15</v>
      </c>
      <c r="V1196" s="3">
        <v>2</v>
      </c>
      <c r="X1196" s="2" t="s">
        <v>570</v>
      </c>
      <c r="Y1196" s="18">
        <v>0</v>
      </c>
      <c r="Z1196" s="18">
        <v>1</v>
      </c>
      <c r="AA1196" s="18">
        <v>0</v>
      </c>
      <c r="AB1196" s="18">
        <v>0</v>
      </c>
      <c r="AC1196" s="18">
        <v>0</v>
      </c>
      <c r="AD1196" s="18">
        <v>0</v>
      </c>
      <c r="AE1196" s="18">
        <v>0</v>
      </c>
      <c r="AN1196" s="3">
        <f t="shared" si="17"/>
        <v>1</v>
      </c>
      <c r="AO1196" s="3">
        <v>4</v>
      </c>
      <c r="AP1196" s="3">
        <v>2</v>
      </c>
      <c r="AR1196" s="2" t="s">
        <v>600</v>
      </c>
    </row>
    <row r="1197" spans="1:44" ht="12.75" customHeight="1">
      <c r="A1197" s="5">
        <v>38119</v>
      </c>
      <c r="B1197" s="2" t="s">
        <v>152</v>
      </c>
      <c r="C1197" s="2" t="s">
        <v>367</v>
      </c>
      <c r="E1197" s="18">
        <v>4</v>
      </c>
      <c r="F1197" s="18">
        <v>1</v>
      </c>
      <c r="G1197" s="18">
        <v>1</v>
      </c>
      <c r="H1197" s="18">
        <v>0</v>
      </c>
      <c r="I1197" s="18">
        <v>0</v>
      </c>
      <c r="J1197" s="18">
        <v>0</v>
      </c>
      <c r="K1197" s="18">
        <v>2</v>
      </c>
      <c r="T1197" s="3">
        <f t="shared" si="16"/>
        <v>8</v>
      </c>
      <c r="U1197" s="3">
        <v>9</v>
      </c>
      <c r="V1197" s="3">
        <v>5</v>
      </c>
      <c r="X1197" s="2" t="s">
        <v>598</v>
      </c>
      <c r="Y1197" s="18">
        <v>2</v>
      </c>
      <c r="Z1197" s="18">
        <v>0</v>
      </c>
      <c r="AA1197" s="18">
        <v>0</v>
      </c>
      <c r="AB1197" s="18">
        <v>1</v>
      </c>
      <c r="AC1197" s="18">
        <v>0</v>
      </c>
      <c r="AD1197" s="18">
        <v>0</v>
      </c>
      <c r="AE1197" s="18">
        <v>0</v>
      </c>
      <c r="AN1197" s="3">
        <f t="shared" si="17"/>
        <v>3</v>
      </c>
      <c r="AO1197" s="3">
        <v>7</v>
      </c>
      <c r="AP1197" s="3">
        <v>3</v>
      </c>
      <c r="AR1197" s="2" t="s">
        <v>599</v>
      </c>
    </row>
    <row r="1198" spans="1:44" ht="12.75" customHeight="1">
      <c r="A1198" s="5">
        <v>38121</v>
      </c>
      <c r="C1198" s="2" t="s">
        <v>191</v>
      </c>
      <c r="E1198" s="18">
        <v>0</v>
      </c>
      <c r="F1198" s="18">
        <v>10</v>
      </c>
      <c r="G1198" s="18">
        <v>3</v>
      </c>
      <c r="H1198" s="18">
        <v>4</v>
      </c>
      <c r="I1198" s="18">
        <v>0</v>
      </c>
      <c r="J1198" s="18">
        <v>4</v>
      </c>
      <c r="T1198" s="3">
        <f t="shared" si="16"/>
        <v>21</v>
      </c>
      <c r="U1198" s="3">
        <v>15</v>
      </c>
      <c r="V1198" s="3">
        <v>3</v>
      </c>
      <c r="X1198" s="2" t="s">
        <v>596</v>
      </c>
      <c r="Y1198" s="18">
        <v>3</v>
      </c>
      <c r="Z1198" s="18">
        <v>5</v>
      </c>
      <c r="AA1198" s="18">
        <v>1</v>
      </c>
      <c r="AB1198" s="18">
        <v>0</v>
      </c>
      <c r="AC1198" s="18">
        <v>0</v>
      </c>
      <c r="AD1198" s="18">
        <v>2</v>
      </c>
      <c r="AN1198" s="3">
        <f t="shared" si="17"/>
        <v>11</v>
      </c>
      <c r="AO1198" s="3">
        <v>13</v>
      </c>
      <c r="AP1198" s="3">
        <v>7</v>
      </c>
      <c r="AR1198" s="2" t="s">
        <v>597</v>
      </c>
    </row>
    <row r="1199" spans="1:44" ht="12.75" customHeight="1">
      <c r="A1199" s="5">
        <v>38124</v>
      </c>
      <c r="B1199" s="2" t="s">
        <v>152</v>
      </c>
      <c r="C1199" s="2" t="s">
        <v>290</v>
      </c>
      <c r="E1199" s="18">
        <v>0</v>
      </c>
      <c r="F1199" s="18">
        <v>0</v>
      </c>
      <c r="G1199" s="18">
        <v>3</v>
      </c>
      <c r="H1199" s="18">
        <v>1</v>
      </c>
      <c r="I1199" s="18">
        <v>0</v>
      </c>
      <c r="J1199" s="18">
        <v>1</v>
      </c>
      <c r="K1199" s="18">
        <v>0</v>
      </c>
      <c r="T1199" s="3">
        <f t="shared" si="16"/>
        <v>5</v>
      </c>
      <c r="U1199" s="3">
        <v>12</v>
      </c>
      <c r="V1199" s="3">
        <v>2</v>
      </c>
      <c r="X1199" s="2" t="s">
        <v>570</v>
      </c>
      <c r="Y1199" s="18">
        <v>0</v>
      </c>
      <c r="Z1199" s="18">
        <v>0</v>
      </c>
      <c r="AA1199" s="18">
        <v>0</v>
      </c>
      <c r="AB1199" s="18">
        <v>1</v>
      </c>
      <c r="AC1199" s="18">
        <v>0</v>
      </c>
      <c r="AD1199" s="18">
        <v>0</v>
      </c>
      <c r="AE1199" s="18">
        <v>1</v>
      </c>
      <c r="AN1199" s="3">
        <f t="shared" si="17"/>
        <v>2</v>
      </c>
      <c r="AO1199" s="3">
        <v>9</v>
      </c>
      <c r="AP1199" s="3">
        <v>1</v>
      </c>
      <c r="AR1199" s="2" t="s">
        <v>595</v>
      </c>
    </row>
    <row r="1200" spans="1:44" ht="12.75" customHeight="1">
      <c r="A1200" s="5">
        <v>38134</v>
      </c>
      <c r="C1200" s="2" t="s">
        <v>191</v>
      </c>
      <c r="D1200" s="2" t="s">
        <v>258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T1200" s="3">
        <f t="shared" si="16"/>
        <v>0</v>
      </c>
      <c r="U1200" s="3">
        <v>5</v>
      </c>
      <c r="V1200" s="3">
        <v>2</v>
      </c>
      <c r="X1200" s="2" t="s">
        <v>570</v>
      </c>
      <c r="Y1200" s="18">
        <v>1</v>
      </c>
      <c r="Z1200" s="18">
        <v>2</v>
      </c>
      <c r="AA1200" s="18">
        <v>0</v>
      </c>
      <c r="AB1200" s="18">
        <v>0</v>
      </c>
      <c r="AC1200" s="18">
        <v>0</v>
      </c>
      <c r="AD1200" s="18">
        <v>0</v>
      </c>
      <c r="AE1200" s="18">
        <v>1</v>
      </c>
      <c r="AN1200" s="3">
        <f t="shared" si="17"/>
        <v>4</v>
      </c>
      <c r="AO1200" s="3">
        <v>7</v>
      </c>
      <c r="AP1200" s="3">
        <v>1</v>
      </c>
      <c r="AR1200" s="2" t="s">
        <v>2389</v>
      </c>
    </row>
    <row r="1201" ht="12.75" customHeight="1"/>
    <row r="1202" spans="1:45" ht="12.75" customHeight="1">
      <c r="A1202" s="8">
        <f>DATE(2005,3,26)</f>
        <v>38437</v>
      </c>
      <c r="B1202" s="2" t="s">
        <v>152</v>
      </c>
      <c r="C1202" s="2" t="s">
        <v>1910</v>
      </c>
      <c r="E1202" s="18">
        <v>0</v>
      </c>
      <c r="F1202" s="18">
        <v>0</v>
      </c>
      <c r="G1202" s="18">
        <v>1</v>
      </c>
      <c r="H1202" s="18">
        <v>2</v>
      </c>
      <c r="I1202" s="18">
        <v>0</v>
      </c>
      <c r="J1202" s="18">
        <v>1</v>
      </c>
      <c r="K1202" s="18">
        <v>3</v>
      </c>
      <c r="T1202" s="3">
        <f t="shared" si="16"/>
        <v>7</v>
      </c>
      <c r="U1202" s="3">
        <v>11</v>
      </c>
      <c r="V1202" s="3">
        <v>1</v>
      </c>
      <c r="X1202" s="2" t="s">
        <v>532</v>
      </c>
      <c r="Y1202" s="18">
        <v>1</v>
      </c>
      <c r="Z1202" s="18">
        <v>0</v>
      </c>
      <c r="AA1202" s="18">
        <v>0</v>
      </c>
      <c r="AB1202" s="18">
        <v>0</v>
      </c>
      <c r="AC1202" s="18">
        <v>0</v>
      </c>
      <c r="AD1202" s="18">
        <v>1</v>
      </c>
      <c r="AE1202" s="18">
        <v>0</v>
      </c>
      <c r="AN1202" s="3">
        <f t="shared" si="17"/>
        <v>2</v>
      </c>
      <c r="AO1202" s="3">
        <v>4</v>
      </c>
      <c r="AP1202" s="3">
        <v>2</v>
      </c>
      <c r="AR1202" s="2" t="s">
        <v>533</v>
      </c>
      <c r="AS1202" s="2" t="s">
        <v>1848</v>
      </c>
    </row>
    <row r="1203" spans="1:46" ht="12.75" customHeight="1">
      <c r="A1203" s="5">
        <f>DATE(2005,4,5)</f>
        <v>38447</v>
      </c>
      <c r="B1203" s="2" t="s">
        <v>152</v>
      </c>
      <c r="C1203" s="2" t="s">
        <v>168</v>
      </c>
      <c r="E1203" s="18">
        <v>1</v>
      </c>
      <c r="F1203" s="18">
        <v>0</v>
      </c>
      <c r="G1203" s="18">
        <v>0</v>
      </c>
      <c r="H1203" s="18">
        <v>1</v>
      </c>
      <c r="I1203" s="18">
        <v>0</v>
      </c>
      <c r="J1203" s="18">
        <v>0</v>
      </c>
      <c r="K1203" s="18">
        <v>0</v>
      </c>
      <c r="T1203" s="3">
        <f t="shared" si="16"/>
        <v>2</v>
      </c>
      <c r="U1203" s="3">
        <v>7</v>
      </c>
      <c r="V1203" s="3">
        <v>2</v>
      </c>
      <c r="X1203" s="2" t="s">
        <v>534</v>
      </c>
      <c r="Y1203" s="18"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  <c r="AE1203" s="18">
        <v>3</v>
      </c>
      <c r="AN1203" s="3">
        <f t="shared" si="17"/>
        <v>3</v>
      </c>
      <c r="AO1203" s="3">
        <v>8</v>
      </c>
      <c r="AP1203" s="3">
        <v>1</v>
      </c>
      <c r="AR1203" s="2" t="s">
        <v>535</v>
      </c>
      <c r="AS1203" s="2" t="s">
        <v>2325</v>
      </c>
      <c r="AT1203" s="2">
        <v>15</v>
      </c>
    </row>
    <row r="1204" spans="1:44" ht="12.75" customHeight="1">
      <c r="A1204" s="8">
        <f>DATE(2005,4,7)</f>
        <v>38449</v>
      </c>
      <c r="C1204" s="2" t="s">
        <v>236</v>
      </c>
      <c r="E1204" s="18">
        <v>1</v>
      </c>
      <c r="F1204" s="18">
        <v>0</v>
      </c>
      <c r="G1204" s="18">
        <v>0</v>
      </c>
      <c r="H1204" s="18">
        <v>0</v>
      </c>
      <c r="I1204" s="18">
        <v>2</v>
      </c>
      <c r="J1204" s="18">
        <v>0</v>
      </c>
      <c r="K1204" s="18">
        <v>1</v>
      </c>
      <c r="T1204" s="3">
        <f t="shared" si="16"/>
        <v>4</v>
      </c>
      <c r="U1204" s="3">
        <v>9</v>
      </c>
      <c r="V1204" s="3">
        <v>2</v>
      </c>
      <c r="X1204" s="2" t="s">
        <v>536</v>
      </c>
      <c r="Y1204" s="18">
        <v>0</v>
      </c>
      <c r="Z1204" s="18">
        <v>0</v>
      </c>
      <c r="AA1204" s="18">
        <v>0</v>
      </c>
      <c r="AB1204" s="18">
        <v>5</v>
      </c>
      <c r="AC1204" s="18">
        <v>1</v>
      </c>
      <c r="AD1204" s="18">
        <v>3</v>
      </c>
      <c r="AE1204" s="18">
        <v>0</v>
      </c>
      <c r="AN1204" s="3">
        <f t="shared" si="17"/>
        <v>9</v>
      </c>
      <c r="AO1204" s="3">
        <v>10</v>
      </c>
      <c r="AP1204" s="3">
        <v>0</v>
      </c>
      <c r="AR1204" s="2" t="s">
        <v>537</v>
      </c>
    </row>
    <row r="1205" spans="1:44" ht="12.75" customHeight="1">
      <c r="A1205" s="5">
        <f>DATE(2005,4,9)</f>
        <v>38451</v>
      </c>
      <c r="C1205" s="2" t="s">
        <v>135</v>
      </c>
      <c r="E1205" s="18">
        <v>4</v>
      </c>
      <c r="F1205" s="18">
        <v>0</v>
      </c>
      <c r="G1205" s="18">
        <v>0</v>
      </c>
      <c r="H1205" s="18">
        <v>2</v>
      </c>
      <c r="I1205" s="18">
        <v>0</v>
      </c>
      <c r="J1205" s="18">
        <v>0</v>
      </c>
      <c r="K1205" s="18">
        <v>0</v>
      </c>
      <c r="T1205" s="3">
        <f t="shared" si="16"/>
        <v>6</v>
      </c>
      <c r="U1205" s="3">
        <v>9</v>
      </c>
      <c r="V1205" s="3">
        <v>5</v>
      </c>
      <c r="X1205" s="2" t="s">
        <v>538</v>
      </c>
      <c r="Y1205" s="18">
        <v>0</v>
      </c>
      <c r="Z1205" s="18">
        <v>2</v>
      </c>
      <c r="AA1205" s="18">
        <v>1</v>
      </c>
      <c r="AB1205" s="18">
        <v>3</v>
      </c>
      <c r="AC1205" s="18">
        <v>0</v>
      </c>
      <c r="AD1205" s="18">
        <v>0</v>
      </c>
      <c r="AE1205" s="18">
        <v>3</v>
      </c>
      <c r="AN1205" s="3">
        <f t="shared" si="17"/>
        <v>9</v>
      </c>
      <c r="AO1205" s="3">
        <v>8</v>
      </c>
      <c r="AP1205" s="3">
        <v>1</v>
      </c>
      <c r="AR1205" s="2" t="s">
        <v>539</v>
      </c>
    </row>
    <row r="1206" spans="1:44" ht="12.75" customHeight="1">
      <c r="A1206" s="5">
        <f>DATE(2005,4,11)</f>
        <v>38453</v>
      </c>
      <c r="C1206" s="2" t="s">
        <v>174</v>
      </c>
      <c r="E1206" s="18">
        <v>1</v>
      </c>
      <c r="F1206" s="18">
        <v>0</v>
      </c>
      <c r="G1206" s="18">
        <v>0</v>
      </c>
      <c r="H1206" s="18">
        <v>1</v>
      </c>
      <c r="I1206" s="18">
        <v>0</v>
      </c>
      <c r="J1206" s="18">
        <v>1</v>
      </c>
      <c r="K1206" s="18">
        <v>1</v>
      </c>
      <c r="T1206" s="3">
        <f t="shared" si="16"/>
        <v>4</v>
      </c>
      <c r="U1206" s="3">
        <v>10</v>
      </c>
      <c r="V1206" s="3">
        <v>3</v>
      </c>
      <c r="X1206" s="2" t="s">
        <v>540</v>
      </c>
      <c r="Y1206" s="18">
        <v>1</v>
      </c>
      <c r="Z1206" s="18">
        <v>0</v>
      </c>
      <c r="AA1206" s="18">
        <v>0</v>
      </c>
      <c r="AB1206" s="18">
        <v>1</v>
      </c>
      <c r="AC1206" s="18">
        <v>1</v>
      </c>
      <c r="AD1206" s="18">
        <v>4</v>
      </c>
      <c r="AE1206" s="18">
        <v>5</v>
      </c>
      <c r="AN1206" s="3">
        <f t="shared" si="17"/>
        <v>12</v>
      </c>
      <c r="AO1206" s="3">
        <v>14</v>
      </c>
      <c r="AP1206" s="3">
        <v>4</v>
      </c>
      <c r="AR1206" s="2" t="s">
        <v>541</v>
      </c>
    </row>
    <row r="1207" spans="1:44" ht="12.75" customHeight="1">
      <c r="A1207" s="5">
        <f>DATE(2005,4,12)</f>
        <v>38454</v>
      </c>
      <c r="C1207" s="2" t="s">
        <v>137</v>
      </c>
      <c r="E1207" s="18">
        <v>0</v>
      </c>
      <c r="F1207" s="18">
        <v>0</v>
      </c>
      <c r="G1207" s="18">
        <v>1</v>
      </c>
      <c r="H1207" s="18">
        <v>0</v>
      </c>
      <c r="I1207" s="18">
        <v>0</v>
      </c>
      <c r="J1207" s="18">
        <v>0</v>
      </c>
      <c r="K1207" s="18">
        <v>0</v>
      </c>
      <c r="T1207" s="3">
        <f t="shared" si="16"/>
        <v>1</v>
      </c>
      <c r="U1207" s="3">
        <v>3</v>
      </c>
      <c r="V1207" s="3">
        <v>0</v>
      </c>
      <c r="X1207" s="2" t="s">
        <v>532</v>
      </c>
      <c r="Y1207" s="18">
        <v>1</v>
      </c>
      <c r="Z1207" s="18">
        <v>0</v>
      </c>
      <c r="AA1207" s="18">
        <v>1</v>
      </c>
      <c r="AB1207" s="18">
        <v>1</v>
      </c>
      <c r="AC1207" s="18">
        <v>0</v>
      </c>
      <c r="AD1207" s="18">
        <v>0</v>
      </c>
      <c r="AE1207" s="18">
        <v>0</v>
      </c>
      <c r="AN1207" s="3">
        <f t="shared" si="17"/>
        <v>3</v>
      </c>
      <c r="AO1207" s="3">
        <v>8</v>
      </c>
      <c r="AP1207" s="3">
        <v>1</v>
      </c>
      <c r="AR1207" s="2" t="s">
        <v>542</v>
      </c>
    </row>
    <row r="1208" spans="1:44" ht="12.75" customHeight="1">
      <c r="A1208" s="5">
        <f>DATE(2005,4,14)</f>
        <v>38456</v>
      </c>
      <c r="C1208" s="2" t="s">
        <v>183</v>
      </c>
      <c r="E1208" s="18">
        <v>0</v>
      </c>
      <c r="F1208" s="18">
        <v>0</v>
      </c>
      <c r="G1208" s="18">
        <v>0</v>
      </c>
      <c r="H1208" s="18">
        <v>1</v>
      </c>
      <c r="I1208" s="18">
        <v>0</v>
      </c>
      <c r="J1208" s="18">
        <v>0</v>
      </c>
      <c r="K1208" s="18">
        <v>0</v>
      </c>
      <c r="T1208" s="3">
        <f t="shared" si="16"/>
        <v>1</v>
      </c>
      <c r="U1208" s="3">
        <v>7</v>
      </c>
      <c r="V1208" s="3">
        <v>4</v>
      </c>
      <c r="X1208" s="2" t="s">
        <v>473</v>
      </c>
      <c r="Y1208" s="18">
        <v>3</v>
      </c>
      <c r="Z1208" s="18">
        <v>1</v>
      </c>
      <c r="AA1208" s="18">
        <v>1</v>
      </c>
      <c r="AB1208" s="18">
        <v>1</v>
      </c>
      <c r="AC1208" s="18">
        <v>0</v>
      </c>
      <c r="AD1208" s="18">
        <v>2</v>
      </c>
      <c r="AE1208" s="18">
        <v>2</v>
      </c>
      <c r="AN1208" s="3">
        <f t="shared" si="17"/>
        <v>10</v>
      </c>
      <c r="AO1208" s="3">
        <v>10</v>
      </c>
      <c r="AP1208" s="3">
        <v>4</v>
      </c>
      <c r="AR1208" s="2" t="s">
        <v>518</v>
      </c>
    </row>
    <row r="1209" spans="1:44" ht="12.75" customHeight="1">
      <c r="A1209" s="5">
        <f>DATE(2005,4,16)</f>
        <v>38458</v>
      </c>
      <c r="B1209" s="2" t="s">
        <v>152</v>
      </c>
      <c r="C1209" s="2" t="s">
        <v>2220</v>
      </c>
      <c r="E1209" s="18">
        <v>1</v>
      </c>
      <c r="F1209" s="18">
        <v>6</v>
      </c>
      <c r="G1209" s="18">
        <v>3</v>
      </c>
      <c r="H1209" s="18">
        <v>4</v>
      </c>
      <c r="I1209" s="18">
        <v>0</v>
      </c>
      <c r="T1209" s="3">
        <f t="shared" si="16"/>
        <v>14</v>
      </c>
      <c r="U1209" s="3">
        <v>14</v>
      </c>
      <c r="V1209" s="3">
        <v>4</v>
      </c>
      <c r="X1209" s="2" t="s">
        <v>543</v>
      </c>
      <c r="Y1209" s="18">
        <v>0</v>
      </c>
      <c r="Z1209" s="18">
        <v>0</v>
      </c>
      <c r="AA1209" s="18">
        <v>0</v>
      </c>
      <c r="AB1209" s="18">
        <v>3</v>
      </c>
      <c r="AC1209" s="18">
        <v>0</v>
      </c>
      <c r="AN1209" s="3">
        <f t="shared" si="17"/>
        <v>3</v>
      </c>
      <c r="AO1209" s="3">
        <v>3</v>
      </c>
      <c r="AP1209" s="3">
        <v>6</v>
      </c>
      <c r="AR1209" s="2" t="s">
        <v>544</v>
      </c>
    </row>
    <row r="1210" spans="1:44" ht="12.75" customHeight="1">
      <c r="A1210" s="5">
        <f>DATE(2005,4,16)</f>
        <v>38458</v>
      </c>
      <c r="B1210" s="2" t="s">
        <v>152</v>
      </c>
      <c r="C1210" s="2" t="s">
        <v>2220</v>
      </c>
      <c r="E1210" s="18">
        <v>1</v>
      </c>
      <c r="F1210" s="18">
        <v>2</v>
      </c>
      <c r="G1210" s="18">
        <v>0</v>
      </c>
      <c r="H1210" s="18">
        <v>8</v>
      </c>
      <c r="I1210" s="18">
        <v>1</v>
      </c>
      <c r="T1210" s="3">
        <f t="shared" si="16"/>
        <v>12</v>
      </c>
      <c r="U1210" s="3">
        <v>16</v>
      </c>
      <c r="V1210" s="3">
        <v>0</v>
      </c>
      <c r="X1210" s="2" t="s">
        <v>464</v>
      </c>
      <c r="Y1210" s="18">
        <v>0</v>
      </c>
      <c r="Z1210" s="18">
        <v>1</v>
      </c>
      <c r="AA1210" s="18">
        <v>0</v>
      </c>
      <c r="AB1210" s="18">
        <v>0</v>
      </c>
      <c r="AC1210" s="18">
        <v>0</v>
      </c>
      <c r="AN1210" s="3">
        <f t="shared" si="17"/>
        <v>1</v>
      </c>
      <c r="AO1210" s="3">
        <v>3</v>
      </c>
      <c r="AP1210" s="3">
        <v>4</v>
      </c>
      <c r="AR1210" s="2" t="s">
        <v>545</v>
      </c>
    </row>
    <row r="1211" spans="1:44" ht="12.75" customHeight="1">
      <c r="A1211" s="5">
        <f>DATE(2005,4,18)</f>
        <v>38460</v>
      </c>
      <c r="C1211" s="2" t="s">
        <v>305</v>
      </c>
      <c r="E1211" s="18">
        <v>0</v>
      </c>
      <c r="F1211" s="18">
        <v>0</v>
      </c>
      <c r="G1211" s="18">
        <v>0</v>
      </c>
      <c r="H1211" s="18">
        <v>0</v>
      </c>
      <c r="T1211" s="3">
        <f t="shared" si="16"/>
        <v>0</v>
      </c>
      <c r="U1211" s="3">
        <v>0</v>
      </c>
      <c r="V1211" s="3">
        <v>2</v>
      </c>
      <c r="X1211" s="2" t="s">
        <v>546</v>
      </c>
      <c r="Y1211" s="18">
        <v>0</v>
      </c>
      <c r="Z1211" s="18">
        <v>1</v>
      </c>
      <c r="AA1211" s="18">
        <v>6</v>
      </c>
      <c r="AB1211" s="18">
        <v>8</v>
      </c>
      <c r="AN1211" s="3">
        <f t="shared" si="17"/>
        <v>15</v>
      </c>
      <c r="AO1211" s="3">
        <v>9</v>
      </c>
      <c r="AP1211" s="3">
        <v>1</v>
      </c>
      <c r="AR1211" s="2" t="s">
        <v>547</v>
      </c>
    </row>
    <row r="1212" spans="1:44" ht="12.75" customHeight="1">
      <c r="A1212" s="5">
        <f>DATE(2005,4,22)</f>
        <v>38464</v>
      </c>
      <c r="B1212" s="2" t="s">
        <v>152</v>
      </c>
      <c r="C1212" s="2" t="s">
        <v>254</v>
      </c>
      <c r="E1212" s="18">
        <v>0</v>
      </c>
      <c r="F1212" s="18">
        <v>2</v>
      </c>
      <c r="G1212" s="18">
        <v>1</v>
      </c>
      <c r="H1212" s="18">
        <v>1</v>
      </c>
      <c r="I1212" s="18">
        <v>0</v>
      </c>
      <c r="J1212" s="18">
        <v>0</v>
      </c>
      <c r="K1212" s="18">
        <v>0</v>
      </c>
      <c r="L1212" s="18">
        <v>1</v>
      </c>
      <c r="T1212" s="3">
        <f t="shared" si="16"/>
        <v>5</v>
      </c>
      <c r="U1212" s="3">
        <v>10</v>
      </c>
      <c r="V1212" s="3">
        <v>0</v>
      </c>
      <c r="X1212" s="2" t="s">
        <v>425</v>
      </c>
      <c r="Y1212" s="18">
        <v>1</v>
      </c>
      <c r="Z1212" s="18">
        <v>0</v>
      </c>
      <c r="AA1212" s="18">
        <v>0</v>
      </c>
      <c r="AB1212" s="18">
        <v>2</v>
      </c>
      <c r="AC1212" s="18">
        <v>1</v>
      </c>
      <c r="AD1212" s="18">
        <v>0</v>
      </c>
      <c r="AE1212" s="18">
        <v>0</v>
      </c>
      <c r="AF1212" s="18">
        <v>0</v>
      </c>
      <c r="AN1212" s="3">
        <f t="shared" si="17"/>
        <v>4</v>
      </c>
      <c r="AO1212" s="3">
        <v>9</v>
      </c>
      <c r="AP1212" s="3">
        <v>1</v>
      </c>
      <c r="AR1212" s="2" t="s">
        <v>548</v>
      </c>
    </row>
    <row r="1213" spans="1:44" ht="12.75" customHeight="1">
      <c r="A1213" s="5">
        <f>DATE(2005,4,25)</f>
        <v>38467</v>
      </c>
      <c r="C1213" s="2" t="s">
        <v>175</v>
      </c>
      <c r="E1213" s="18">
        <v>0</v>
      </c>
      <c r="F1213" s="18">
        <v>0</v>
      </c>
      <c r="G1213" s="18">
        <v>0</v>
      </c>
      <c r="H1213" s="18">
        <v>0</v>
      </c>
      <c r="I1213" s="18">
        <v>0</v>
      </c>
      <c r="T1213" s="3">
        <f t="shared" si="16"/>
        <v>0</v>
      </c>
      <c r="U1213" s="3">
        <v>1</v>
      </c>
      <c r="V1213" s="3">
        <v>3</v>
      </c>
      <c r="X1213" s="2" t="s">
        <v>550</v>
      </c>
      <c r="Y1213" s="18">
        <v>1</v>
      </c>
      <c r="Z1213" s="18">
        <v>0</v>
      </c>
      <c r="AA1213" s="18">
        <v>5</v>
      </c>
      <c r="AB1213" s="18">
        <v>4</v>
      </c>
      <c r="AN1213" s="3">
        <f t="shared" si="17"/>
        <v>10</v>
      </c>
      <c r="AO1213" s="3">
        <v>10</v>
      </c>
      <c r="AP1213" s="3">
        <v>4</v>
      </c>
      <c r="AR1213" s="2" t="s">
        <v>549</v>
      </c>
    </row>
    <row r="1214" spans="1:44" ht="12.75" customHeight="1">
      <c r="A1214" s="5">
        <f>DATE(2005,4,28)</f>
        <v>38470</v>
      </c>
      <c r="C1214" s="2" t="s">
        <v>374</v>
      </c>
      <c r="E1214" s="18">
        <v>0</v>
      </c>
      <c r="F1214" s="18">
        <v>1</v>
      </c>
      <c r="G1214" s="18">
        <v>2</v>
      </c>
      <c r="H1214" s="18">
        <v>0</v>
      </c>
      <c r="I1214" s="18">
        <v>0</v>
      </c>
      <c r="J1214" s="18">
        <v>0</v>
      </c>
      <c r="K1214" s="18">
        <v>0</v>
      </c>
      <c r="L1214" s="18">
        <v>1</v>
      </c>
      <c r="T1214" s="3">
        <f t="shared" si="16"/>
        <v>4</v>
      </c>
      <c r="U1214" s="3">
        <v>5</v>
      </c>
      <c r="V1214" s="3">
        <v>5</v>
      </c>
      <c r="X1214" s="2" t="s">
        <v>551</v>
      </c>
      <c r="Y1214" s="18">
        <v>1</v>
      </c>
      <c r="Z1214" s="18">
        <v>0</v>
      </c>
      <c r="AA1214" s="18">
        <v>0</v>
      </c>
      <c r="AB1214" s="18">
        <v>0</v>
      </c>
      <c r="AC1214" s="18">
        <v>2</v>
      </c>
      <c r="AD1214" s="18">
        <v>1</v>
      </c>
      <c r="AE1214" s="18">
        <v>10</v>
      </c>
      <c r="AN1214" s="3">
        <f t="shared" si="17"/>
        <v>14</v>
      </c>
      <c r="AO1214" s="3">
        <v>16</v>
      </c>
      <c r="AP1214" s="3">
        <v>1</v>
      </c>
      <c r="AR1214" s="2" t="s">
        <v>552</v>
      </c>
    </row>
    <row r="1215" spans="1:44" ht="12.75" customHeight="1">
      <c r="A1215" s="5">
        <f>DATE(2005,4,30)</f>
        <v>38472</v>
      </c>
      <c r="C1215" s="2" t="s">
        <v>367</v>
      </c>
      <c r="E1215" s="18">
        <v>1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0</v>
      </c>
      <c r="T1215" s="3">
        <f t="shared" si="16"/>
        <v>1</v>
      </c>
      <c r="U1215" s="3">
        <v>3</v>
      </c>
      <c r="V1215" s="3">
        <v>3</v>
      </c>
      <c r="X1215" s="2" t="s">
        <v>553</v>
      </c>
      <c r="Y1215" s="18">
        <v>0</v>
      </c>
      <c r="Z1215" s="18">
        <v>2</v>
      </c>
      <c r="AA1215" s="18">
        <v>2</v>
      </c>
      <c r="AB1215" s="18">
        <v>1</v>
      </c>
      <c r="AC1215" s="18">
        <v>0</v>
      </c>
      <c r="AD1215" s="18">
        <v>0</v>
      </c>
      <c r="AE1215" s="18">
        <v>2</v>
      </c>
      <c r="AN1215" s="3">
        <f t="shared" si="17"/>
        <v>7</v>
      </c>
      <c r="AO1215" s="3">
        <v>10</v>
      </c>
      <c r="AP1215" s="3">
        <v>2</v>
      </c>
      <c r="AR1215" s="2" t="s">
        <v>554</v>
      </c>
    </row>
    <row r="1216" spans="1:44" ht="12.75" customHeight="1">
      <c r="A1216" s="5">
        <f>DATE(2005,5,4)</f>
        <v>38476</v>
      </c>
      <c r="B1216" s="2" t="s">
        <v>152</v>
      </c>
      <c r="C1216" s="2" t="s">
        <v>2213</v>
      </c>
      <c r="E1216" s="18">
        <v>0</v>
      </c>
      <c r="F1216" s="18">
        <v>0</v>
      </c>
      <c r="G1216" s="18">
        <v>0</v>
      </c>
      <c r="H1216" s="18">
        <v>0</v>
      </c>
      <c r="I1216" s="18">
        <v>3</v>
      </c>
      <c r="J1216" s="18">
        <v>0</v>
      </c>
      <c r="K1216" s="18">
        <v>1</v>
      </c>
      <c r="T1216" s="3">
        <f t="shared" si="16"/>
        <v>4</v>
      </c>
      <c r="U1216" s="3">
        <v>5</v>
      </c>
      <c r="V1216" s="3">
        <v>0</v>
      </c>
      <c r="X1216" s="2" t="s">
        <v>540</v>
      </c>
      <c r="Y1216" s="18">
        <v>4</v>
      </c>
      <c r="Z1216" s="18">
        <v>0</v>
      </c>
      <c r="AA1216" s="18">
        <v>1</v>
      </c>
      <c r="AB1216" s="18">
        <v>0</v>
      </c>
      <c r="AC1216" s="18">
        <v>0</v>
      </c>
      <c r="AD1216" s="18">
        <v>5</v>
      </c>
      <c r="AN1216" s="3">
        <f t="shared" si="17"/>
        <v>10</v>
      </c>
      <c r="AO1216" s="3">
        <v>12</v>
      </c>
      <c r="AP1216" s="3">
        <v>3</v>
      </c>
      <c r="AR1216" s="2" t="s">
        <v>555</v>
      </c>
    </row>
    <row r="1217" spans="1:44" ht="12.75" customHeight="1">
      <c r="A1217" s="5">
        <f>DATE(2005,5,7)</f>
        <v>38479</v>
      </c>
      <c r="B1217" s="2" t="s">
        <v>152</v>
      </c>
      <c r="C1217" s="2" t="s">
        <v>192</v>
      </c>
      <c r="E1217" s="18">
        <v>5</v>
      </c>
      <c r="F1217" s="18">
        <v>1</v>
      </c>
      <c r="G1217" s="18">
        <v>0</v>
      </c>
      <c r="H1217" s="18">
        <v>0</v>
      </c>
      <c r="I1217" s="18">
        <v>2</v>
      </c>
      <c r="J1217" s="18">
        <v>1</v>
      </c>
      <c r="K1217" s="18">
        <v>0</v>
      </c>
      <c r="T1217" s="3">
        <f t="shared" si="16"/>
        <v>9</v>
      </c>
      <c r="U1217" s="3">
        <v>9</v>
      </c>
      <c r="V1217" s="3">
        <v>3</v>
      </c>
      <c r="X1217" s="2" t="s">
        <v>478</v>
      </c>
      <c r="Y1217" s="18">
        <v>0</v>
      </c>
      <c r="Z1217" s="18">
        <v>2</v>
      </c>
      <c r="AA1217" s="18">
        <v>0</v>
      </c>
      <c r="AB1217" s="18">
        <v>2</v>
      </c>
      <c r="AC1217" s="18">
        <v>4</v>
      </c>
      <c r="AD1217" s="18">
        <v>2</v>
      </c>
      <c r="AE1217" s="18" t="s">
        <v>162</v>
      </c>
      <c r="AN1217" s="3">
        <f t="shared" si="17"/>
        <v>10</v>
      </c>
      <c r="AO1217" s="3">
        <v>10</v>
      </c>
      <c r="AP1217" s="3">
        <v>3</v>
      </c>
      <c r="AR1217" s="2" t="s">
        <v>2370</v>
      </c>
    </row>
    <row r="1218" spans="1:44" ht="12.75" customHeight="1">
      <c r="A1218" s="5">
        <f>DATE(2005,5,9)</f>
        <v>38481</v>
      </c>
      <c r="C1218" s="2" t="s">
        <v>290</v>
      </c>
      <c r="E1218" s="18">
        <v>1</v>
      </c>
      <c r="F1218" s="18">
        <v>0</v>
      </c>
      <c r="G1218" s="18">
        <v>0</v>
      </c>
      <c r="H1218" s="18">
        <v>0</v>
      </c>
      <c r="I1218" s="18">
        <v>0</v>
      </c>
      <c r="J1218" s="18">
        <v>1</v>
      </c>
      <c r="K1218" s="18">
        <v>1</v>
      </c>
      <c r="T1218" s="3">
        <f t="shared" si="16"/>
        <v>3</v>
      </c>
      <c r="U1218" s="3">
        <v>4</v>
      </c>
      <c r="V1218" s="3">
        <v>5</v>
      </c>
      <c r="X1218" s="2" t="s">
        <v>556</v>
      </c>
      <c r="Y1218" s="18">
        <v>0</v>
      </c>
      <c r="Z1218" s="18">
        <v>3</v>
      </c>
      <c r="AA1218" s="18">
        <v>1</v>
      </c>
      <c r="AB1218" s="18">
        <v>1</v>
      </c>
      <c r="AC1218" s="18">
        <v>1</v>
      </c>
      <c r="AD1218" s="18">
        <v>2</v>
      </c>
      <c r="AE1218" s="18">
        <v>7</v>
      </c>
      <c r="AN1218" s="3">
        <f t="shared" si="17"/>
        <v>15</v>
      </c>
      <c r="AO1218" s="3">
        <v>14</v>
      </c>
      <c r="AP1218" s="3">
        <v>0</v>
      </c>
      <c r="AR1218" s="2" t="s">
        <v>557</v>
      </c>
    </row>
    <row r="1219" spans="1:44" ht="12.75" customHeight="1">
      <c r="A1219" s="5">
        <f>DATE(2005,5,11)</f>
        <v>38483</v>
      </c>
      <c r="C1219" s="2" t="s">
        <v>191</v>
      </c>
      <c r="E1219" s="18">
        <v>2</v>
      </c>
      <c r="F1219" s="18">
        <v>0</v>
      </c>
      <c r="G1219" s="18">
        <v>1</v>
      </c>
      <c r="H1219" s="18">
        <v>0</v>
      </c>
      <c r="I1219" s="18">
        <v>0</v>
      </c>
      <c r="J1219" s="18">
        <v>0</v>
      </c>
      <c r="K1219" s="18">
        <v>0</v>
      </c>
      <c r="T1219" s="3">
        <f t="shared" si="16"/>
        <v>3</v>
      </c>
      <c r="U1219" s="3">
        <v>7</v>
      </c>
      <c r="V1219" s="3">
        <v>1</v>
      </c>
      <c r="X1219" s="2" t="s">
        <v>558</v>
      </c>
      <c r="Y1219" s="18">
        <v>0</v>
      </c>
      <c r="Z1219" s="18">
        <v>0</v>
      </c>
      <c r="AA1219" s="18">
        <v>0</v>
      </c>
      <c r="AB1219" s="18">
        <v>2</v>
      </c>
      <c r="AC1219" s="18">
        <v>0</v>
      </c>
      <c r="AD1219" s="18">
        <v>3</v>
      </c>
      <c r="AN1219" s="3">
        <f t="shared" si="17"/>
        <v>5</v>
      </c>
      <c r="AO1219" s="3">
        <v>6</v>
      </c>
      <c r="AP1219" s="3">
        <v>2</v>
      </c>
      <c r="AR1219" s="2" t="s">
        <v>559</v>
      </c>
    </row>
    <row r="1220" spans="1:44" ht="12.75" customHeight="1">
      <c r="A1220" s="5">
        <f>DATE(2005,5,12)</f>
        <v>38484</v>
      </c>
      <c r="C1220" s="2" t="s">
        <v>138</v>
      </c>
      <c r="E1220" s="18">
        <v>0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3</v>
      </c>
      <c r="L1220" s="18">
        <v>0</v>
      </c>
      <c r="T1220" s="3">
        <f t="shared" si="16"/>
        <v>3</v>
      </c>
      <c r="U1220" s="3">
        <v>9</v>
      </c>
      <c r="V1220" s="3">
        <v>0</v>
      </c>
      <c r="X1220" s="2" t="s">
        <v>560</v>
      </c>
      <c r="Y1220" s="18">
        <v>1</v>
      </c>
      <c r="Z1220" s="18">
        <v>2</v>
      </c>
      <c r="AA1220" s="18">
        <v>1</v>
      </c>
      <c r="AB1220" s="18">
        <v>3</v>
      </c>
      <c r="AC1220" s="18">
        <v>0</v>
      </c>
      <c r="AD1220" s="18">
        <v>2</v>
      </c>
      <c r="AE1220" s="18">
        <v>0</v>
      </c>
      <c r="AN1220" s="3">
        <f t="shared" si="17"/>
        <v>9</v>
      </c>
      <c r="AO1220" s="3">
        <v>14</v>
      </c>
      <c r="AP1220" s="3">
        <v>2</v>
      </c>
      <c r="AR1220" s="2" t="s">
        <v>561</v>
      </c>
    </row>
    <row r="1221" spans="1:44" ht="12.75" customHeight="1">
      <c r="A1221" s="5">
        <f>DATE(2005,5,18)</f>
        <v>38490</v>
      </c>
      <c r="B1221" s="2" t="s">
        <v>152</v>
      </c>
      <c r="C1221" s="2" t="s">
        <v>392</v>
      </c>
      <c r="E1221" s="18">
        <v>0</v>
      </c>
      <c r="F1221" s="18">
        <v>0</v>
      </c>
      <c r="G1221" s="18">
        <v>0</v>
      </c>
      <c r="H1221" s="18">
        <v>0</v>
      </c>
      <c r="I1221" s="18">
        <v>0</v>
      </c>
      <c r="T1221" s="3">
        <f t="shared" si="16"/>
        <v>0</v>
      </c>
      <c r="U1221" s="3">
        <v>1</v>
      </c>
      <c r="V1221" s="3">
        <v>5</v>
      </c>
      <c r="X1221" s="2" t="s">
        <v>562</v>
      </c>
      <c r="Y1221" s="18">
        <v>1</v>
      </c>
      <c r="Z1221" s="18">
        <v>3</v>
      </c>
      <c r="AA1221" s="18">
        <v>7</v>
      </c>
      <c r="AB1221" s="18">
        <v>2</v>
      </c>
      <c r="AC1221" s="18" t="s">
        <v>162</v>
      </c>
      <c r="AN1221" s="3">
        <f t="shared" si="17"/>
        <v>13</v>
      </c>
      <c r="AO1221" s="3">
        <v>10</v>
      </c>
      <c r="AP1221" s="3">
        <v>0</v>
      </c>
      <c r="AR1221" s="2" t="s">
        <v>426</v>
      </c>
    </row>
    <row r="1222" ht="12.75" customHeight="1"/>
    <row r="1223" spans="1:45" ht="12.75" customHeight="1">
      <c r="A1223" s="8">
        <v>38800</v>
      </c>
      <c r="B1223" s="2" t="s">
        <v>152</v>
      </c>
      <c r="C1223" s="2" t="s">
        <v>932</v>
      </c>
      <c r="E1223" s="18">
        <v>3</v>
      </c>
      <c r="F1223" s="18">
        <v>5</v>
      </c>
      <c r="G1223" s="18">
        <v>0</v>
      </c>
      <c r="H1223" s="18">
        <v>0</v>
      </c>
      <c r="I1223" s="18">
        <v>2</v>
      </c>
      <c r="J1223" s="18">
        <v>2</v>
      </c>
      <c r="K1223" s="18">
        <v>0</v>
      </c>
      <c r="T1223" s="3">
        <f t="shared" si="16"/>
        <v>12</v>
      </c>
      <c r="U1223" s="3">
        <v>15</v>
      </c>
      <c r="V1223" s="3">
        <v>2</v>
      </c>
      <c r="X1223" s="2" t="s">
        <v>463</v>
      </c>
      <c r="Y1223" s="18">
        <v>0</v>
      </c>
      <c r="Z1223" s="18">
        <v>0</v>
      </c>
      <c r="AA1223" s="18">
        <v>0</v>
      </c>
      <c r="AB1223" s="18">
        <v>4</v>
      </c>
      <c r="AC1223" s="18">
        <v>0</v>
      </c>
      <c r="AD1223" s="18">
        <v>1</v>
      </c>
      <c r="AE1223" s="18">
        <v>1</v>
      </c>
      <c r="AN1223" s="3">
        <f t="shared" si="17"/>
        <v>6</v>
      </c>
      <c r="AO1223" s="3">
        <v>5</v>
      </c>
      <c r="AP1223" s="3">
        <v>1</v>
      </c>
      <c r="AR1223" s="2" t="s">
        <v>213</v>
      </c>
      <c r="AS1223" s="2" t="s">
        <v>1848</v>
      </c>
    </row>
    <row r="1224" spans="1:47" ht="12.75" customHeight="1">
      <c r="A1224" s="8">
        <v>38801</v>
      </c>
      <c r="B1224" s="2" t="s">
        <v>152</v>
      </c>
      <c r="C1224" s="2" t="s">
        <v>1910</v>
      </c>
      <c r="E1224" s="18">
        <v>0</v>
      </c>
      <c r="F1224" s="18">
        <v>6</v>
      </c>
      <c r="G1224" s="18">
        <v>3</v>
      </c>
      <c r="H1224" s="18">
        <v>0</v>
      </c>
      <c r="I1224" s="18">
        <v>1</v>
      </c>
      <c r="J1224" s="18">
        <v>1</v>
      </c>
      <c r="K1224" s="18">
        <v>1</v>
      </c>
      <c r="T1224" s="3">
        <f t="shared" si="16"/>
        <v>12</v>
      </c>
      <c r="U1224" s="3">
        <v>15</v>
      </c>
      <c r="V1224" s="3">
        <v>4</v>
      </c>
      <c r="X1224" s="2" t="s">
        <v>208</v>
      </c>
      <c r="Y1224" s="18">
        <v>1</v>
      </c>
      <c r="Z1224" s="18">
        <v>1</v>
      </c>
      <c r="AA1224" s="18">
        <v>0</v>
      </c>
      <c r="AB1224" s="18">
        <v>7</v>
      </c>
      <c r="AC1224" s="18">
        <v>1</v>
      </c>
      <c r="AD1224" s="18">
        <v>0</v>
      </c>
      <c r="AE1224" s="18">
        <v>0</v>
      </c>
      <c r="AN1224" s="3">
        <f t="shared" si="17"/>
        <v>10</v>
      </c>
      <c r="AO1224" s="3">
        <v>11</v>
      </c>
      <c r="AP1224" s="3">
        <v>2</v>
      </c>
      <c r="AR1224" s="2" t="s">
        <v>2384</v>
      </c>
      <c r="AS1224" s="2" t="s">
        <v>2326</v>
      </c>
      <c r="AT1224" s="2" t="s">
        <v>326</v>
      </c>
      <c r="AU1224" s="28" t="s">
        <v>2327</v>
      </c>
    </row>
    <row r="1225" spans="1:44" ht="12.75" customHeight="1">
      <c r="A1225" s="5">
        <v>38804</v>
      </c>
      <c r="C1225" s="2" t="s">
        <v>392</v>
      </c>
      <c r="E1225" s="18">
        <v>0</v>
      </c>
      <c r="F1225" s="18">
        <v>0</v>
      </c>
      <c r="G1225" s="18">
        <v>0</v>
      </c>
      <c r="H1225" s="18">
        <v>2</v>
      </c>
      <c r="I1225" s="18">
        <v>1</v>
      </c>
      <c r="J1225" s="18">
        <v>0</v>
      </c>
      <c r="K1225" s="18">
        <v>0</v>
      </c>
      <c r="L1225" s="18">
        <v>1</v>
      </c>
      <c r="T1225" s="3">
        <f t="shared" si="16"/>
        <v>4</v>
      </c>
      <c r="U1225" s="3">
        <v>8</v>
      </c>
      <c r="V1225" s="3">
        <v>1</v>
      </c>
      <c r="X1225" s="2" t="s">
        <v>208</v>
      </c>
      <c r="Y1225" s="18">
        <v>0</v>
      </c>
      <c r="Z1225" s="18">
        <v>0</v>
      </c>
      <c r="AA1225" s="18">
        <v>2</v>
      </c>
      <c r="AB1225" s="18">
        <v>0</v>
      </c>
      <c r="AC1225" s="18">
        <v>0</v>
      </c>
      <c r="AD1225" s="18">
        <v>1</v>
      </c>
      <c r="AE1225" s="18">
        <v>0</v>
      </c>
      <c r="AF1225" s="18">
        <v>1</v>
      </c>
      <c r="AN1225" s="3">
        <f t="shared" si="17"/>
        <v>4</v>
      </c>
      <c r="AO1225" s="3">
        <v>7</v>
      </c>
      <c r="AP1225" s="3">
        <v>1</v>
      </c>
      <c r="AR1225" s="2" t="s">
        <v>214</v>
      </c>
    </row>
    <row r="1226" spans="1:44" ht="12.75" customHeight="1">
      <c r="A1226" s="5">
        <v>38806</v>
      </c>
      <c r="B1226" s="2" t="s">
        <v>152</v>
      </c>
      <c r="C1226" s="2" t="s">
        <v>174</v>
      </c>
      <c r="E1226" s="18">
        <v>4</v>
      </c>
      <c r="F1226" s="18">
        <v>0</v>
      </c>
      <c r="G1226" s="18">
        <v>0</v>
      </c>
      <c r="H1226" s="18">
        <v>0</v>
      </c>
      <c r="I1226" s="18">
        <v>0</v>
      </c>
      <c r="J1226" s="18">
        <v>1</v>
      </c>
      <c r="K1226" s="18">
        <v>0</v>
      </c>
      <c r="T1226" s="3">
        <v>5</v>
      </c>
      <c r="U1226" s="3">
        <v>8</v>
      </c>
      <c r="V1226" s="3">
        <v>3</v>
      </c>
      <c r="X1226" s="2" t="s">
        <v>1817</v>
      </c>
      <c r="Y1226" s="18">
        <v>0</v>
      </c>
      <c r="Z1226" s="18">
        <v>1</v>
      </c>
      <c r="AA1226" s="18">
        <v>0</v>
      </c>
      <c r="AB1226" s="18">
        <v>2</v>
      </c>
      <c r="AC1226" s="18">
        <v>1</v>
      </c>
      <c r="AD1226" s="18">
        <v>1</v>
      </c>
      <c r="AE1226" s="18">
        <v>1</v>
      </c>
      <c r="AN1226" s="3">
        <v>6</v>
      </c>
      <c r="AO1226" s="3">
        <v>9</v>
      </c>
      <c r="AP1226" s="3">
        <v>4</v>
      </c>
      <c r="AR1226" s="2" t="s">
        <v>496</v>
      </c>
    </row>
    <row r="1227" spans="1:44" ht="12.75" customHeight="1">
      <c r="A1227" s="5">
        <v>38808</v>
      </c>
      <c r="C1227" s="2" t="s">
        <v>192</v>
      </c>
      <c r="E1227" s="18">
        <v>1</v>
      </c>
      <c r="F1227" s="18">
        <v>3</v>
      </c>
      <c r="G1227" s="18">
        <v>2</v>
      </c>
      <c r="H1227" s="18">
        <v>4</v>
      </c>
      <c r="I1227" s="18" t="s">
        <v>162</v>
      </c>
      <c r="T1227" s="3">
        <f t="shared" si="16"/>
        <v>10</v>
      </c>
      <c r="U1227" s="3">
        <v>10</v>
      </c>
      <c r="V1227" s="3">
        <v>1</v>
      </c>
      <c r="X1227" s="2" t="s">
        <v>209</v>
      </c>
      <c r="Y1227" s="18">
        <v>0</v>
      </c>
      <c r="Z1227" s="18">
        <v>0</v>
      </c>
      <c r="AA1227" s="18">
        <v>0</v>
      </c>
      <c r="AB1227" s="18">
        <v>0</v>
      </c>
      <c r="AC1227" s="18">
        <v>0</v>
      </c>
      <c r="AN1227" s="3">
        <f t="shared" si="17"/>
        <v>0</v>
      </c>
      <c r="AO1227" s="3">
        <v>3</v>
      </c>
      <c r="AP1227" s="3">
        <v>1</v>
      </c>
      <c r="AR1227" s="2" t="s">
        <v>2372</v>
      </c>
    </row>
    <row r="1228" spans="1:44" ht="12.75" customHeight="1">
      <c r="A1228" s="5">
        <v>38813</v>
      </c>
      <c r="C1228" s="2" t="s">
        <v>168</v>
      </c>
      <c r="E1228" s="18">
        <v>1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T1228" s="3">
        <f t="shared" si="16"/>
        <v>1</v>
      </c>
      <c r="U1228" s="3">
        <v>4</v>
      </c>
      <c r="V1228" s="3">
        <v>5</v>
      </c>
      <c r="X1228" s="2" t="s">
        <v>210</v>
      </c>
      <c r="Y1228" s="18">
        <v>2</v>
      </c>
      <c r="Z1228" s="18">
        <v>2</v>
      </c>
      <c r="AA1228" s="18">
        <v>0</v>
      </c>
      <c r="AB1228" s="18">
        <v>0</v>
      </c>
      <c r="AC1228" s="18">
        <v>0</v>
      </c>
      <c r="AD1228" s="18">
        <v>2</v>
      </c>
      <c r="AE1228" s="18">
        <v>1</v>
      </c>
      <c r="AN1228" s="3">
        <f t="shared" si="17"/>
        <v>7</v>
      </c>
      <c r="AO1228" s="3">
        <v>6</v>
      </c>
      <c r="AP1228" s="3">
        <v>1</v>
      </c>
      <c r="AR1228" s="2" t="s">
        <v>215</v>
      </c>
    </row>
    <row r="1229" spans="1:44" ht="12.75" customHeight="1">
      <c r="A1229" s="5">
        <v>38820</v>
      </c>
      <c r="B1229" s="2" t="s">
        <v>152</v>
      </c>
      <c r="C1229" s="2" t="s">
        <v>137</v>
      </c>
      <c r="E1229" s="18">
        <v>2</v>
      </c>
      <c r="F1229" s="18">
        <v>0</v>
      </c>
      <c r="G1229" s="18">
        <v>2</v>
      </c>
      <c r="H1229" s="18">
        <v>0</v>
      </c>
      <c r="I1229" s="18">
        <v>0</v>
      </c>
      <c r="J1229" s="18">
        <v>2</v>
      </c>
      <c r="K1229" s="18">
        <v>5</v>
      </c>
      <c r="T1229" s="3">
        <f t="shared" si="16"/>
        <v>11</v>
      </c>
      <c r="U1229" s="3">
        <v>14</v>
      </c>
      <c r="V1229" s="3">
        <v>2</v>
      </c>
      <c r="X1229" s="2" t="s">
        <v>211</v>
      </c>
      <c r="Y1229" s="18">
        <v>2</v>
      </c>
      <c r="Z1229" s="18">
        <v>0</v>
      </c>
      <c r="AA1229" s="18">
        <v>1</v>
      </c>
      <c r="AB1229" s="18">
        <v>0</v>
      </c>
      <c r="AC1229" s="18">
        <v>1</v>
      </c>
      <c r="AD1229" s="18">
        <v>0</v>
      </c>
      <c r="AE1229" s="18">
        <v>4</v>
      </c>
      <c r="AN1229" s="3">
        <f t="shared" si="17"/>
        <v>8</v>
      </c>
      <c r="AO1229" s="3">
        <v>8</v>
      </c>
      <c r="AP1229" s="3">
        <v>6</v>
      </c>
      <c r="AR1229" s="2" t="s">
        <v>216</v>
      </c>
    </row>
    <row r="1230" spans="1:44" ht="12.75" customHeight="1">
      <c r="A1230" s="5">
        <v>38825</v>
      </c>
      <c r="B1230" s="2" t="s">
        <v>152</v>
      </c>
      <c r="C1230" s="2" t="s">
        <v>183</v>
      </c>
      <c r="E1230" s="18">
        <v>0</v>
      </c>
      <c r="F1230" s="18">
        <v>0</v>
      </c>
      <c r="G1230" s="18">
        <v>1</v>
      </c>
      <c r="H1230" s="18">
        <v>1</v>
      </c>
      <c r="I1230" s="18">
        <v>1</v>
      </c>
      <c r="J1230" s="18">
        <v>0</v>
      </c>
      <c r="K1230" s="18">
        <v>3</v>
      </c>
      <c r="T1230" s="3">
        <f t="shared" si="16"/>
        <v>6</v>
      </c>
      <c r="U1230" s="3">
        <v>6</v>
      </c>
      <c r="V1230" s="3">
        <v>1</v>
      </c>
      <c r="X1230" s="2" t="s">
        <v>212</v>
      </c>
      <c r="Y1230" s="18">
        <v>0</v>
      </c>
      <c r="Z1230" s="18">
        <v>2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N1230" s="3">
        <f t="shared" si="17"/>
        <v>2</v>
      </c>
      <c r="AO1230" s="3">
        <v>6</v>
      </c>
      <c r="AP1230" s="3">
        <v>1</v>
      </c>
      <c r="AR1230" s="2" t="s">
        <v>217</v>
      </c>
    </row>
    <row r="1231" spans="1:44" ht="12.75" customHeight="1">
      <c r="A1231" s="5">
        <v>38827</v>
      </c>
      <c r="B1231" s="2" t="s">
        <v>152</v>
      </c>
      <c r="C1231" s="2" t="s">
        <v>305</v>
      </c>
      <c r="E1231" s="18">
        <v>2</v>
      </c>
      <c r="F1231" s="18">
        <v>0</v>
      </c>
      <c r="G1231" s="18">
        <v>0</v>
      </c>
      <c r="H1231" s="18">
        <v>1</v>
      </c>
      <c r="I1231" s="18">
        <v>0</v>
      </c>
      <c r="J1231" s="18">
        <v>1</v>
      </c>
      <c r="K1231" s="18">
        <v>0</v>
      </c>
      <c r="T1231" s="3">
        <f t="shared" si="16"/>
        <v>4</v>
      </c>
      <c r="U1231" s="3">
        <v>8</v>
      </c>
      <c r="V1231" s="3">
        <v>1</v>
      </c>
      <c r="X1231" s="2" t="s">
        <v>1679</v>
      </c>
      <c r="Y1231" s="18">
        <v>0</v>
      </c>
      <c r="Z1231" s="18">
        <v>5</v>
      </c>
      <c r="AA1231" s="18">
        <v>0</v>
      </c>
      <c r="AB1231" s="18">
        <v>0</v>
      </c>
      <c r="AC1231" s="18">
        <v>0</v>
      </c>
      <c r="AD1231" s="18">
        <v>0</v>
      </c>
      <c r="AE1231" s="18" t="s">
        <v>162</v>
      </c>
      <c r="AN1231" s="3">
        <f t="shared" si="17"/>
        <v>5</v>
      </c>
      <c r="AO1231" s="3">
        <v>6</v>
      </c>
      <c r="AP1231" s="3">
        <v>0</v>
      </c>
      <c r="AR1231" s="2" t="s">
        <v>460</v>
      </c>
    </row>
    <row r="1232" spans="1:44" ht="12.75" customHeight="1">
      <c r="A1232" s="5">
        <v>38833</v>
      </c>
      <c r="C1232" s="2" t="s">
        <v>254</v>
      </c>
      <c r="E1232" s="18">
        <v>0</v>
      </c>
      <c r="F1232" s="18">
        <v>1</v>
      </c>
      <c r="G1232" s="18">
        <v>0</v>
      </c>
      <c r="H1232" s="18">
        <v>0</v>
      </c>
      <c r="I1232" s="18">
        <v>2</v>
      </c>
      <c r="J1232" s="18">
        <v>0</v>
      </c>
      <c r="K1232" s="18">
        <v>0</v>
      </c>
      <c r="T1232" s="3">
        <f t="shared" si="16"/>
        <v>3</v>
      </c>
      <c r="U1232" s="3">
        <v>3</v>
      </c>
      <c r="V1232" s="3">
        <v>2</v>
      </c>
      <c r="X1232" s="2" t="s">
        <v>1680</v>
      </c>
      <c r="Y1232" s="18">
        <v>0</v>
      </c>
      <c r="Z1232" s="18">
        <v>0</v>
      </c>
      <c r="AA1232" s="18">
        <v>0</v>
      </c>
      <c r="AB1232" s="18">
        <v>3</v>
      </c>
      <c r="AC1232" s="18">
        <v>0</v>
      </c>
      <c r="AD1232" s="18">
        <v>0</v>
      </c>
      <c r="AE1232" s="18">
        <v>3</v>
      </c>
      <c r="AN1232" s="3">
        <f t="shared" si="17"/>
        <v>6</v>
      </c>
      <c r="AO1232" s="3">
        <v>8</v>
      </c>
      <c r="AP1232" s="3">
        <v>1</v>
      </c>
      <c r="AR1232" s="2" t="s">
        <v>1670</v>
      </c>
    </row>
    <row r="1233" spans="1:44" ht="12.75" customHeight="1">
      <c r="A1233" s="5">
        <v>38835</v>
      </c>
      <c r="C1233" s="2" t="s">
        <v>175</v>
      </c>
      <c r="E1233" s="18">
        <v>0</v>
      </c>
      <c r="F1233" s="18">
        <v>2</v>
      </c>
      <c r="G1233" s="18">
        <v>1</v>
      </c>
      <c r="H1233" s="18">
        <v>0</v>
      </c>
      <c r="I1233" s="18">
        <v>2</v>
      </c>
      <c r="J1233" s="18">
        <v>0</v>
      </c>
      <c r="T1233" s="3">
        <f t="shared" si="16"/>
        <v>5</v>
      </c>
      <c r="U1233" s="3">
        <v>8</v>
      </c>
      <c r="V1233" s="3">
        <v>3</v>
      </c>
      <c r="X1233" s="2" t="s">
        <v>1681</v>
      </c>
      <c r="Y1233" s="18">
        <v>9</v>
      </c>
      <c r="Z1233" s="18">
        <v>0</v>
      </c>
      <c r="AA1233" s="18">
        <v>1</v>
      </c>
      <c r="AB1233" s="18">
        <v>1</v>
      </c>
      <c r="AC1233" s="18">
        <v>0</v>
      </c>
      <c r="AD1233" s="18">
        <v>5</v>
      </c>
      <c r="AN1233" s="3">
        <f t="shared" si="17"/>
        <v>16</v>
      </c>
      <c r="AO1233" s="3">
        <v>19</v>
      </c>
      <c r="AP1233" s="3">
        <v>1</v>
      </c>
      <c r="AR1233" s="2" t="s">
        <v>1671</v>
      </c>
    </row>
    <row r="1234" spans="1:44" ht="12.75" customHeight="1">
      <c r="A1234" s="5">
        <v>38836</v>
      </c>
      <c r="B1234" s="2" t="s">
        <v>152</v>
      </c>
      <c r="C1234" s="2" t="s">
        <v>135</v>
      </c>
      <c r="E1234" s="18">
        <v>0</v>
      </c>
      <c r="F1234" s="18">
        <v>3</v>
      </c>
      <c r="G1234" s="18">
        <v>0</v>
      </c>
      <c r="H1234" s="18">
        <v>0</v>
      </c>
      <c r="I1234" s="18">
        <v>2</v>
      </c>
      <c r="J1234" s="18">
        <v>0</v>
      </c>
      <c r="K1234" s="18">
        <v>1</v>
      </c>
      <c r="T1234" s="3">
        <f t="shared" si="16"/>
        <v>6</v>
      </c>
      <c r="U1234" s="3">
        <v>11</v>
      </c>
      <c r="V1234" s="3">
        <v>3</v>
      </c>
      <c r="X1234" s="2" t="s">
        <v>1682</v>
      </c>
      <c r="Y1234" s="18">
        <v>6</v>
      </c>
      <c r="Z1234" s="18">
        <v>0</v>
      </c>
      <c r="AA1234" s="18">
        <v>1</v>
      </c>
      <c r="AB1234" s="18">
        <v>0</v>
      </c>
      <c r="AC1234" s="18">
        <v>1</v>
      </c>
      <c r="AD1234" s="18">
        <v>0</v>
      </c>
      <c r="AE1234" s="18" t="s">
        <v>162</v>
      </c>
      <c r="AN1234" s="3">
        <f t="shared" si="17"/>
        <v>8</v>
      </c>
      <c r="AO1234" s="3">
        <v>11</v>
      </c>
      <c r="AP1234" s="3">
        <v>0</v>
      </c>
      <c r="AR1234" s="2" t="s">
        <v>1672</v>
      </c>
    </row>
    <row r="1235" spans="1:44" ht="12.75" customHeight="1">
      <c r="A1235" s="5">
        <v>38838</v>
      </c>
      <c r="B1235" s="2" t="s">
        <v>152</v>
      </c>
      <c r="C1235" s="2" t="s">
        <v>374</v>
      </c>
      <c r="E1235" s="18">
        <v>3</v>
      </c>
      <c r="F1235" s="18">
        <v>1</v>
      </c>
      <c r="G1235" s="18">
        <v>0</v>
      </c>
      <c r="H1235" s="18">
        <v>0</v>
      </c>
      <c r="I1235" s="18">
        <v>0</v>
      </c>
      <c r="J1235" s="18">
        <v>1</v>
      </c>
      <c r="K1235" s="18">
        <v>1</v>
      </c>
      <c r="T1235" s="3">
        <f t="shared" si="16"/>
        <v>6</v>
      </c>
      <c r="U1235" s="3">
        <v>7</v>
      </c>
      <c r="V1235" s="3">
        <v>0</v>
      </c>
      <c r="X1235" s="2" t="s">
        <v>212</v>
      </c>
      <c r="Y1235" s="18">
        <v>1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N1235" s="3">
        <f t="shared" si="17"/>
        <v>1</v>
      </c>
      <c r="AO1235" s="3">
        <v>6</v>
      </c>
      <c r="AP1235" s="3">
        <v>3</v>
      </c>
      <c r="AR1235" s="2" t="s">
        <v>1673</v>
      </c>
    </row>
    <row r="1236" spans="1:44" ht="12.75" customHeight="1">
      <c r="A1236" s="5">
        <v>38841</v>
      </c>
      <c r="B1236" s="2" t="s">
        <v>152</v>
      </c>
      <c r="C1236" s="2" t="s">
        <v>138</v>
      </c>
      <c r="E1236" s="18">
        <v>1</v>
      </c>
      <c r="F1236" s="18">
        <v>1</v>
      </c>
      <c r="G1236" s="18">
        <v>0</v>
      </c>
      <c r="H1236" s="18">
        <v>0</v>
      </c>
      <c r="I1236" s="18">
        <v>2</v>
      </c>
      <c r="J1236" s="18">
        <v>1</v>
      </c>
      <c r="K1236" s="18">
        <v>5</v>
      </c>
      <c r="T1236" s="3">
        <f t="shared" si="16"/>
        <v>10</v>
      </c>
      <c r="U1236" s="3">
        <v>15</v>
      </c>
      <c r="V1236" s="3">
        <v>4</v>
      </c>
      <c r="X1236" s="2" t="s">
        <v>461</v>
      </c>
      <c r="Y1236" s="18">
        <v>0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  <c r="AE1236" s="18">
        <v>0</v>
      </c>
      <c r="AN1236" s="3">
        <f t="shared" si="17"/>
        <v>0</v>
      </c>
      <c r="AO1236" s="3">
        <v>4</v>
      </c>
      <c r="AP1236" s="3">
        <v>1</v>
      </c>
      <c r="AR1236" s="2" t="s">
        <v>303</v>
      </c>
    </row>
    <row r="1237" spans="1:44" ht="12.75" customHeight="1">
      <c r="A1237" s="5">
        <v>38842</v>
      </c>
      <c r="C1237" s="2" t="s">
        <v>2213</v>
      </c>
      <c r="E1237" s="18">
        <v>3</v>
      </c>
      <c r="F1237" s="18">
        <v>3</v>
      </c>
      <c r="G1237" s="18">
        <v>4</v>
      </c>
      <c r="H1237" s="18">
        <v>0</v>
      </c>
      <c r="I1237" s="18">
        <v>1</v>
      </c>
      <c r="T1237" s="3">
        <f t="shared" si="16"/>
        <v>11</v>
      </c>
      <c r="U1237" s="3">
        <v>14</v>
      </c>
      <c r="V1237" s="3">
        <v>1</v>
      </c>
      <c r="X1237" s="2" t="s">
        <v>1683</v>
      </c>
      <c r="Y1237" s="18">
        <v>0</v>
      </c>
      <c r="Z1237" s="18">
        <v>0</v>
      </c>
      <c r="AA1237" s="18">
        <v>0</v>
      </c>
      <c r="AB1237" s="18">
        <v>1</v>
      </c>
      <c r="AC1237" s="18">
        <v>0</v>
      </c>
      <c r="AN1237" s="3">
        <f t="shared" si="17"/>
        <v>1</v>
      </c>
      <c r="AO1237" s="3">
        <v>6</v>
      </c>
      <c r="AP1237" s="3">
        <v>3</v>
      </c>
      <c r="AR1237" s="2" t="s">
        <v>1674</v>
      </c>
    </row>
    <row r="1238" spans="1:44" ht="12.75" customHeight="1">
      <c r="A1238" s="5">
        <v>38845</v>
      </c>
      <c r="B1238" s="2" t="s">
        <v>152</v>
      </c>
      <c r="C1238" s="2" t="s">
        <v>236</v>
      </c>
      <c r="E1238" s="18">
        <v>2</v>
      </c>
      <c r="F1238" s="18">
        <v>0</v>
      </c>
      <c r="G1238" s="18">
        <v>0</v>
      </c>
      <c r="H1238" s="18">
        <v>0</v>
      </c>
      <c r="I1238" s="18">
        <v>0</v>
      </c>
      <c r="J1238" s="18">
        <v>1</v>
      </c>
      <c r="K1238" s="18">
        <v>0</v>
      </c>
      <c r="T1238" s="3">
        <f t="shared" si="16"/>
        <v>3</v>
      </c>
      <c r="U1238" s="3">
        <v>7</v>
      </c>
      <c r="V1238" s="3">
        <v>3</v>
      </c>
      <c r="X1238" s="2" t="s">
        <v>1684</v>
      </c>
      <c r="Y1238" s="18">
        <v>0</v>
      </c>
      <c r="Z1238" s="18">
        <v>3</v>
      </c>
      <c r="AA1238" s="18">
        <v>0</v>
      </c>
      <c r="AB1238" s="18">
        <v>0</v>
      </c>
      <c r="AC1238" s="18">
        <v>3</v>
      </c>
      <c r="AD1238" s="18">
        <v>1</v>
      </c>
      <c r="AE1238" s="18" t="s">
        <v>162</v>
      </c>
      <c r="AN1238" s="3">
        <f t="shared" si="17"/>
        <v>7</v>
      </c>
      <c r="AO1238" s="3">
        <v>11</v>
      </c>
      <c r="AP1238" s="3">
        <v>5</v>
      </c>
      <c r="AR1238" s="2" t="s">
        <v>1675</v>
      </c>
    </row>
    <row r="1239" spans="1:44" ht="12.75" customHeight="1">
      <c r="A1239" s="5">
        <v>38847</v>
      </c>
      <c r="B1239" s="2" t="s">
        <v>152</v>
      </c>
      <c r="C1239" s="2" t="s">
        <v>367</v>
      </c>
      <c r="E1239" s="18">
        <v>0</v>
      </c>
      <c r="F1239" s="18">
        <v>0</v>
      </c>
      <c r="G1239" s="18">
        <v>2</v>
      </c>
      <c r="H1239" s="18">
        <v>1</v>
      </c>
      <c r="I1239" s="18">
        <v>1</v>
      </c>
      <c r="J1239" s="18">
        <v>0</v>
      </c>
      <c r="K1239" s="18">
        <v>1</v>
      </c>
      <c r="T1239" s="3">
        <f t="shared" si="16"/>
        <v>5</v>
      </c>
      <c r="U1239" s="3">
        <v>8</v>
      </c>
      <c r="V1239" s="3">
        <v>1</v>
      </c>
      <c r="X1239" s="2" t="s">
        <v>212</v>
      </c>
      <c r="Y1239" s="18">
        <v>0</v>
      </c>
      <c r="Z1239" s="18">
        <v>1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N1239" s="3">
        <f t="shared" si="17"/>
        <v>1</v>
      </c>
      <c r="AO1239" s="3">
        <v>3</v>
      </c>
      <c r="AP1239" s="3">
        <v>2</v>
      </c>
      <c r="AR1239" s="2" t="s">
        <v>1676</v>
      </c>
    </row>
    <row r="1240" spans="1:44" ht="12.75" customHeight="1">
      <c r="A1240" s="5">
        <v>38856</v>
      </c>
      <c r="C1240" s="2" t="s">
        <v>191</v>
      </c>
      <c r="E1240" s="18">
        <v>0</v>
      </c>
      <c r="F1240" s="18">
        <v>3</v>
      </c>
      <c r="G1240" s="18">
        <v>0</v>
      </c>
      <c r="H1240" s="18">
        <v>0</v>
      </c>
      <c r="I1240" s="18">
        <v>2</v>
      </c>
      <c r="J1240" s="18">
        <v>4</v>
      </c>
      <c r="K1240" s="18" t="s">
        <v>162</v>
      </c>
      <c r="T1240" s="3">
        <f t="shared" si="16"/>
        <v>9</v>
      </c>
      <c r="U1240" s="3">
        <v>7</v>
      </c>
      <c r="V1240" s="3">
        <v>1</v>
      </c>
      <c r="X1240" s="2" t="s">
        <v>551</v>
      </c>
      <c r="Y1240" s="18">
        <v>0</v>
      </c>
      <c r="Z1240" s="18">
        <v>2</v>
      </c>
      <c r="AA1240" s="18">
        <v>0</v>
      </c>
      <c r="AB1240" s="18">
        <v>1</v>
      </c>
      <c r="AC1240" s="18">
        <v>0</v>
      </c>
      <c r="AD1240" s="18">
        <v>0</v>
      </c>
      <c r="AE1240" s="18">
        <v>3</v>
      </c>
      <c r="AN1240" s="3">
        <f t="shared" si="17"/>
        <v>6</v>
      </c>
      <c r="AO1240" s="3">
        <v>12</v>
      </c>
      <c r="AP1240" s="3">
        <v>2</v>
      </c>
      <c r="AR1240" s="2" t="s">
        <v>1677</v>
      </c>
    </row>
    <row r="1241" spans="1:44" ht="12.75" customHeight="1">
      <c r="A1241" s="5">
        <v>38860</v>
      </c>
      <c r="B1241" s="2" t="s">
        <v>152</v>
      </c>
      <c r="C1241" s="2" t="s">
        <v>290</v>
      </c>
      <c r="E1241" s="18">
        <v>0</v>
      </c>
      <c r="F1241" s="18">
        <v>0</v>
      </c>
      <c r="G1241" s="18">
        <v>1</v>
      </c>
      <c r="H1241" s="18">
        <v>1</v>
      </c>
      <c r="I1241" s="18">
        <v>1</v>
      </c>
      <c r="J1241" s="18">
        <v>1</v>
      </c>
      <c r="K1241" s="18">
        <v>0</v>
      </c>
      <c r="T1241" s="3">
        <f>SUM(E1241:S1241)</f>
        <v>4</v>
      </c>
      <c r="U1241" s="3">
        <v>8</v>
      </c>
      <c r="V1241" s="3">
        <v>6</v>
      </c>
      <c r="X1241" s="2" t="s">
        <v>2013</v>
      </c>
      <c r="Y1241" s="18">
        <v>1</v>
      </c>
      <c r="Z1241" s="18">
        <v>0</v>
      </c>
      <c r="AA1241" s="18">
        <v>2</v>
      </c>
      <c r="AB1241" s="18">
        <v>0</v>
      </c>
      <c r="AC1241" s="18">
        <v>0</v>
      </c>
      <c r="AD1241" s="18">
        <v>0</v>
      </c>
      <c r="AE1241" s="18">
        <v>2</v>
      </c>
      <c r="AN1241" s="3">
        <f>SUM(Y1241:AM1241)</f>
        <v>5</v>
      </c>
      <c r="AO1241" s="3">
        <v>7</v>
      </c>
      <c r="AP1241" s="3">
        <v>3</v>
      </c>
      <c r="AR1241" s="2" t="s">
        <v>2014</v>
      </c>
    </row>
    <row r="1242" spans="1:44" ht="12.75" customHeight="1">
      <c r="A1242" s="5">
        <v>38863</v>
      </c>
      <c r="B1242" s="2" t="s">
        <v>152</v>
      </c>
      <c r="C1242" s="2" t="s">
        <v>367</v>
      </c>
      <c r="D1242" s="2" t="s">
        <v>258</v>
      </c>
      <c r="E1242" s="18">
        <v>0</v>
      </c>
      <c r="F1242" s="18">
        <v>6</v>
      </c>
      <c r="G1242" s="18">
        <v>2</v>
      </c>
      <c r="H1242" s="18">
        <v>0</v>
      </c>
      <c r="I1242" s="18">
        <v>2</v>
      </c>
      <c r="J1242" s="18">
        <v>6</v>
      </c>
      <c r="T1242" s="3">
        <f t="shared" si="16"/>
        <v>16</v>
      </c>
      <c r="U1242" s="3">
        <v>9</v>
      </c>
      <c r="V1242" s="3">
        <v>2</v>
      </c>
      <c r="X1242" s="2" t="s">
        <v>556</v>
      </c>
      <c r="Y1242" s="18">
        <v>0</v>
      </c>
      <c r="Z1242" s="18">
        <v>0</v>
      </c>
      <c r="AA1242" s="18">
        <v>0</v>
      </c>
      <c r="AB1242" s="18">
        <v>0</v>
      </c>
      <c r="AC1242" s="18">
        <v>3</v>
      </c>
      <c r="AD1242" s="18">
        <v>0</v>
      </c>
      <c r="AN1242" s="3">
        <f t="shared" si="17"/>
        <v>3</v>
      </c>
      <c r="AO1242" s="3">
        <v>5</v>
      </c>
      <c r="AP1242" s="3">
        <v>6</v>
      </c>
      <c r="AR1242" s="2" t="s">
        <v>1678</v>
      </c>
    </row>
    <row r="1243" spans="1:44" ht="12.75" customHeight="1">
      <c r="A1243" s="5">
        <v>38868</v>
      </c>
      <c r="B1243" s="2" t="s">
        <v>239</v>
      </c>
      <c r="C1243" s="2" t="s">
        <v>183</v>
      </c>
      <c r="D1243" s="2" t="s">
        <v>258</v>
      </c>
      <c r="E1243" s="18">
        <v>0</v>
      </c>
      <c r="F1243" s="18">
        <v>0</v>
      </c>
      <c r="G1243" s="18">
        <v>0</v>
      </c>
      <c r="H1243" s="18">
        <v>2</v>
      </c>
      <c r="I1243" s="18">
        <v>0</v>
      </c>
      <c r="J1243" s="18">
        <v>0</v>
      </c>
      <c r="K1243" s="18">
        <v>0</v>
      </c>
      <c r="T1243" s="3">
        <f t="shared" si="16"/>
        <v>2</v>
      </c>
      <c r="U1243" s="3">
        <v>6</v>
      </c>
      <c r="V1243" s="3">
        <v>1</v>
      </c>
      <c r="X1243" s="2" t="s">
        <v>1683</v>
      </c>
      <c r="Y1243" s="18">
        <v>1</v>
      </c>
      <c r="Z1243" s="18">
        <v>1</v>
      </c>
      <c r="AA1243" s="18">
        <v>0</v>
      </c>
      <c r="AB1243" s="18">
        <v>0</v>
      </c>
      <c r="AC1243" s="18">
        <v>3</v>
      </c>
      <c r="AD1243" s="18">
        <v>0</v>
      </c>
      <c r="AE1243" s="18" t="s">
        <v>162</v>
      </c>
      <c r="AN1243" s="3">
        <f t="shared" si="17"/>
        <v>5</v>
      </c>
      <c r="AO1243" s="3">
        <v>8</v>
      </c>
      <c r="AP1243" s="3">
        <v>2</v>
      </c>
      <c r="AR1243" s="2" t="s">
        <v>480</v>
      </c>
    </row>
    <row r="1244" ht="12.75" customHeight="1"/>
    <row r="1245" spans="1:45" ht="12.75" customHeight="1">
      <c r="A1245" s="5">
        <v>39166</v>
      </c>
      <c r="B1245" s="2" t="s">
        <v>152</v>
      </c>
      <c r="C1245" s="2" t="s">
        <v>1910</v>
      </c>
      <c r="E1245" s="18">
        <v>0</v>
      </c>
      <c r="F1245" s="18">
        <v>0</v>
      </c>
      <c r="G1245" s="18">
        <v>1</v>
      </c>
      <c r="H1245" s="18">
        <v>0</v>
      </c>
      <c r="I1245" s="18">
        <v>0</v>
      </c>
      <c r="J1245" s="18">
        <v>0</v>
      </c>
      <c r="K1245" s="18">
        <v>1</v>
      </c>
      <c r="T1245" s="3">
        <f>SUM(E1245:S1245)</f>
        <v>2</v>
      </c>
      <c r="U1245" s="3">
        <v>6</v>
      </c>
      <c r="V1245" s="3">
        <v>3</v>
      </c>
      <c r="X1245" s="2" t="s">
        <v>463</v>
      </c>
      <c r="Y1245" s="18">
        <v>0</v>
      </c>
      <c r="Z1245" s="18">
        <v>0</v>
      </c>
      <c r="AA1245" s="18">
        <v>3</v>
      </c>
      <c r="AB1245" s="18">
        <v>1</v>
      </c>
      <c r="AC1245" s="18">
        <v>4</v>
      </c>
      <c r="AD1245" s="18">
        <v>0</v>
      </c>
      <c r="AE1245" s="18" t="s">
        <v>162</v>
      </c>
      <c r="AN1245" s="3">
        <f>SUM(Y1245:AM1245)</f>
        <v>8</v>
      </c>
      <c r="AO1245" s="3">
        <v>9</v>
      </c>
      <c r="AP1245" s="3">
        <v>1</v>
      </c>
      <c r="AR1245" s="2" t="s">
        <v>2385</v>
      </c>
      <c r="AS1245" s="2" t="s">
        <v>1848</v>
      </c>
    </row>
    <row r="1246" spans="1:46" ht="12.75" customHeight="1">
      <c r="A1246" s="5">
        <v>39171</v>
      </c>
      <c r="C1246" s="2" t="s">
        <v>137</v>
      </c>
      <c r="E1246" s="18">
        <v>2</v>
      </c>
      <c r="F1246" s="18">
        <v>2</v>
      </c>
      <c r="G1246" s="18">
        <v>3</v>
      </c>
      <c r="H1246" s="18">
        <v>7</v>
      </c>
      <c r="I1246" s="18" t="s">
        <v>162</v>
      </c>
      <c r="T1246" s="3">
        <f aca="true" t="shared" si="18" ref="T1246:T1287">SUM(E1246:S1246)</f>
        <v>14</v>
      </c>
      <c r="U1246" s="3">
        <v>9</v>
      </c>
      <c r="V1246" s="3">
        <v>0</v>
      </c>
      <c r="X1246" s="2" t="s">
        <v>464</v>
      </c>
      <c r="Y1246" s="18">
        <v>0</v>
      </c>
      <c r="Z1246" s="18">
        <v>1</v>
      </c>
      <c r="AA1246" s="18">
        <v>0</v>
      </c>
      <c r="AB1246" s="18">
        <v>0</v>
      </c>
      <c r="AC1246" s="18">
        <v>0</v>
      </c>
      <c r="AN1246" s="3">
        <f aca="true" t="shared" si="19" ref="AN1246:AN1287">SUM(Y1246:AM1246)</f>
        <v>1</v>
      </c>
      <c r="AO1246" s="3">
        <v>2</v>
      </c>
      <c r="AP1246" s="3">
        <v>1</v>
      </c>
      <c r="AR1246" s="2" t="s">
        <v>479</v>
      </c>
      <c r="AS1246" s="2" t="s">
        <v>2328</v>
      </c>
      <c r="AT1246" s="2">
        <v>13</v>
      </c>
    </row>
    <row r="1247" spans="1:44" ht="12.75" customHeight="1">
      <c r="A1247" s="5">
        <v>39172</v>
      </c>
      <c r="C1247" s="2" t="s">
        <v>174</v>
      </c>
      <c r="E1247" s="18">
        <v>0</v>
      </c>
      <c r="F1247" s="18">
        <v>0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T1247" s="3">
        <f t="shared" si="18"/>
        <v>0</v>
      </c>
      <c r="U1247" s="3">
        <v>2</v>
      </c>
      <c r="V1247" s="3">
        <v>0</v>
      </c>
      <c r="X1247" s="2" t="s">
        <v>465</v>
      </c>
      <c r="Y1247" s="18"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  <c r="AE1247" s="18">
        <v>3</v>
      </c>
      <c r="AN1247" s="3">
        <f t="shared" si="19"/>
        <v>3</v>
      </c>
      <c r="AO1247" s="3">
        <v>10</v>
      </c>
      <c r="AP1247" s="3">
        <v>0</v>
      </c>
      <c r="AR1247" s="2" t="s">
        <v>496</v>
      </c>
    </row>
    <row r="1248" spans="1:44" ht="12.75" customHeight="1">
      <c r="A1248" s="5">
        <v>39175</v>
      </c>
      <c r="B1248" s="2" t="s">
        <v>152</v>
      </c>
      <c r="C1248" s="2" t="s">
        <v>168</v>
      </c>
      <c r="E1248" s="18">
        <v>0</v>
      </c>
      <c r="F1248" s="18">
        <v>0</v>
      </c>
      <c r="G1248" s="18">
        <v>0</v>
      </c>
      <c r="H1248" s="18">
        <v>0</v>
      </c>
      <c r="I1248" s="18">
        <v>0</v>
      </c>
      <c r="J1248" s="18">
        <v>1</v>
      </c>
      <c r="K1248" s="18">
        <v>0</v>
      </c>
      <c r="L1248" s="18">
        <v>0</v>
      </c>
      <c r="T1248" s="3">
        <f t="shared" si="18"/>
        <v>1</v>
      </c>
      <c r="U1248" s="3">
        <v>8</v>
      </c>
      <c r="V1248" s="3">
        <v>1</v>
      </c>
      <c r="X1248" s="2" t="s">
        <v>466</v>
      </c>
      <c r="Y1248" s="18">
        <v>0</v>
      </c>
      <c r="Z1248" s="18">
        <v>0</v>
      </c>
      <c r="AA1248" s="18">
        <v>0</v>
      </c>
      <c r="AB1248" s="18">
        <v>0</v>
      </c>
      <c r="AC1248" s="18">
        <v>0</v>
      </c>
      <c r="AD1248" s="18">
        <v>1</v>
      </c>
      <c r="AE1248" s="18">
        <v>0</v>
      </c>
      <c r="AF1248" s="18">
        <v>1</v>
      </c>
      <c r="AN1248" s="3">
        <f t="shared" si="19"/>
        <v>2</v>
      </c>
      <c r="AO1248" s="3">
        <v>7</v>
      </c>
      <c r="AP1248" s="3">
        <v>0</v>
      </c>
      <c r="AR1248" s="2" t="s">
        <v>495</v>
      </c>
    </row>
    <row r="1249" spans="1:44" ht="12.75" customHeight="1">
      <c r="A1249" s="5">
        <v>39182</v>
      </c>
      <c r="C1249" s="2" t="s">
        <v>169</v>
      </c>
      <c r="E1249" s="18">
        <v>2</v>
      </c>
      <c r="F1249" s="18">
        <v>1</v>
      </c>
      <c r="G1249" s="18">
        <v>0</v>
      </c>
      <c r="H1249" s="18">
        <v>3</v>
      </c>
      <c r="I1249" s="18">
        <v>0</v>
      </c>
      <c r="J1249" s="18">
        <v>1</v>
      </c>
      <c r="K1249" s="18">
        <v>1</v>
      </c>
      <c r="T1249" s="3">
        <f t="shared" si="18"/>
        <v>8</v>
      </c>
      <c r="U1249" s="3">
        <v>12</v>
      </c>
      <c r="V1249" s="3">
        <v>1</v>
      </c>
      <c r="X1249" s="2" t="s">
        <v>467</v>
      </c>
      <c r="Y1249" s="18">
        <v>0</v>
      </c>
      <c r="Z1249" s="18">
        <v>2</v>
      </c>
      <c r="AA1249" s="18">
        <v>0</v>
      </c>
      <c r="AB1249" s="18">
        <v>0</v>
      </c>
      <c r="AC1249" s="18">
        <v>0</v>
      </c>
      <c r="AD1249" s="18">
        <v>5</v>
      </c>
      <c r="AE1249" s="18">
        <v>0</v>
      </c>
      <c r="AN1249" s="3">
        <f t="shared" si="19"/>
        <v>7</v>
      </c>
      <c r="AO1249" s="3">
        <v>7</v>
      </c>
      <c r="AP1249" s="3">
        <v>0</v>
      </c>
      <c r="AR1249" s="2" t="s">
        <v>494</v>
      </c>
    </row>
    <row r="1250" spans="1:44" ht="12.75" customHeight="1">
      <c r="A1250" s="5">
        <v>39183</v>
      </c>
      <c r="C1250" s="2" t="s">
        <v>183</v>
      </c>
      <c r="E1250" s="18">
        <v>0</v>
      </c>
      <c r="F1250" s="18">
        <v>0</v>
      </c>
      <c r="G1250" s="18">
        <v>1</v>
      </c>
      <c r="H1250" s="18">
        <v>0</v>
      </c>
      <c r="I1250" s="18">
        <v>0</v>
      </c>
      <c r="T1250" s="3">
        <f t="shared" si="18"/>
        <v>1</v>
      </c>
      <c r="U1250" s="3">
        <v>2</v>
      </c>
      <c r="V1250" s="3">
        <v>3</v>
      </c>
      <c r="X1250" s="2" t="s">
        <v>468</v>
      </c>
      <c r="Y1250" s="18">
        <v>0</v>
      </c>
      <c r="Z1250" s="18">
        <v>0</v>
      </c>
      <c r="AA1250" s="18">
        <v>4</v>
      </c>
      <c r="AB1250" s="18">
        <v>0</v>
      </c>
      <c r="AC1250" s="18">
        <v>6</v>
      </c>
      <c r="AN1250" s="3">
        <f t="shared" si="19"/>
        <v>10</v>
      </c>
      <c r="AO1250" s="3">
        <v>6</v>
      </c>
      <c r="AP1250" s="3">
        <v>2</v>
      </c>
      <c r="AR1250" s="2" t="s">
        <v>493</v>
      </c>
    </row>
    <row r="1251" spans="1:44" ht="12.75" customHeight="1">
      <c r="A1251" s="5">
        <v>39191</v>
      </c>
      <c r="B1251" s="2" t="s">
        <v>152</v>
      </c>
      <c r="C1251" s="2" t="s">
        <v>462</v>
      </c>
      <c r="E1251" s="18">
        <v>5</v>
      </c>
      <c r="F1251" s="18">
        <v>0</v>
      </c>
      <c r="G1251" s="18">
        <v>0</v>
      </c>
      <c r="H1251" s="18">
        <v>1</v>
      </c>
      <c r="I1251" s="18">
        <v>0</v>
      </c>
      <c r="J1251" s="18">
        <v>2</v>
      </c>
      <c r="K1251" s="18">
        <v>4</v>
      </c>
      <c r="T1251" s="3">
        <f t="shared" si="18"/>
        <v>12</v>
      </c>
      <c r="U1251" s="3">
        <v>11</v>
      </c>
      <c r="V1251" s="3">
        <v>2</v>
      </c>
      <c r="X1251" s="2" t="s">
        <v>469</v>
      </c>
      <c r="Y1251" s="18">
        <v>0</v>
      </c>
      <c r="Z1251" s="18">
        <v>0</v>
      </c>
      <c r="AA1251" s="18">
        <v>0</v>
      </c>
      <c r="AB1251" s="18">
        <v>1</v>
      </c>
      <c r="AC1251" s="18">
        <v>1</v>
      </c>
      <c r="AD1251" s="18">
        <v>2</v>
      </c>
      <c r="AE1251" s="18">
        <v>0</v>
      </c>
      <c r="AN1251" s="3">
        <f t="shared" si="19"/>
        <v>4</v>
      </c>
      <c r="AO1251" s="3">
        <v>5</v>
      </c>
      <c r="AP1251" s="3">
        <v>4</v>
      </c>
      <c r="AR1251" s="2" t="s">
        <v>492</v>
      </c>
    </row>
    <row r="1252" spans="1:44" ht="12.75" customHeight="1">
      <c r="A1252" s="5">
        <v>39192</v>
      </c>
      <c r="C1252" s="2" t="s">
        <v>305</v>
      </c>
      <c r="E1252" s="18">
        <v>5</v>
      </c>
      <c r="F1252" s="18">
        <v>4</v>
      </c>
      <c r="G1252" s="18">
        <v>3</v>
      </c>
      <c r="H1252" s="18">
        <v>2</v>
      </c>
      <c r="I1252" s="18" t="s">
        <v>162</v>
      </c>
      <c r="T1252" s="3">
        <f t="shared" si="18"/>
        <v>14</v>
      </c>
      <c r="U1252" s="3">
        <v>13</v>
      </c>
      <c r="V1252" s="3">
        <v>0</v>
      </c>
      <c r="X1252" s="2" t="s">
        <v>470</v>
      </c>
      <c r="Y1252" s="18">
        <v>0</v>
      </c>
      <c r="Z1252" s="18">
        <v>0</v>
      </c>
      <c r="AA1252" s="18">
        <v>0</v>
      </c>
      <c r="AB1252" s="18">
        <v>0</v>
      </c>
      <c r="AC1252" s="18">
        <v>0</v>
      </c>
      <c r="AN1252" s="3">
        <f t="shared" si="19"/>
        <v>0</v>
      </c>
      <c r="AO1252" s="3">
        <v>1</v>
      </c>
      <c r="AP1252" s="3">
        <v>2</v>
      </c>
      <c r="AR1252" s="2" t="s">
        <v>491</v>
      </c>
    </row>
    <row r="1253" spans="1:44" ht="12.75" customHeight="1">
      <c r="A1253" s="5">
        <v>39193</v>
      </c>
      <c r="C1253" s="2" t="s">
        <v>138</v>
      </c>
      <c r="E1253" s="18">
        <v>2</v>
      </c>
      <c r="F1253" s="18">
        <v>2</v>
      </c>
      <c r="G1253" s="18">
        <v>1</v>
      </c>
      <c r="H1253" s="18">
        <v>1</v>
      </c>
      <c r="I1253" s="18">
        <v>3</v>
      </c>
      <c r="J1253" s="18">
        <v>0</v>
      </c>
      <c r="K1253" s="18" t="s">
        <v>162</v>
      </c>
      <c r="T1253" s="3">
        <f t="shared" si="18"/>
        <v>9</v>
      </c>
      <c r="U1253" s="3">
        <v>14</v>
      </c>
      <c r="V1253" s="3">
        <v>2</v>
      </c>
      <c r="X1253" s="2" t="s">
        <v>461</v>
      </c>
      <c r="Y1253" s="18">
        <v>0</v>
      </c>
      <c r="Z1253" s="18">
        <v>0</v>
      </c>
      <c r="AA1253" s="18">
        <v>0</v>
      </c>
      <c r="AB1253" s="18">
        <v>3</v>
      </c>
      <c r="AC1253" s="18">
        <v>0</v>
      </c>
      <c r="AD1253" s="18">
        <v>0</v>
      </c>
      <c r="AE1253" s="18">
        <v>0</v>
      </c>
      <c r="AN1253" s="3">
        <f t="shared" si="19"/>
        <v>3</v>
      </c>
      <c r="AO1253" s="3">
        <v>5</v>
      </c>
      <c r="AP1253" s="3">
        <v>0</v>
      </c>
      <c r="AR1253" s="2" t="s">
        <v>490</v>
      </c>
    </row>
    <row r="1254" spans="1:44" ht="12.75" customHeight="1">
      <c r="A1254" s="5">
        <v>39195</v>
      </c>
      <c r="B1254" s="2" t="s">
        <v>152</v>
      </c>
      <c r="C1254" s="2" t="s">
        <v>254</v>
      </c>
      <c r="E1254" s="18">
        <v>0</v>
      </c>
      <c r="F1254" s="18">
        <v>0</v>
      </c>
      <c r="G1254" s="18">
        <v>0</v>
      </c>
      <c r="H1254" s="18">
        <v>0</v>
      </c>
      <c r="I1254" s="18">
        <v>1</v>
      </c>
      <c r="J1254" s="18">
        <v>0</v>
      </c>
      <c r="K1254" s="18">
        <v>3</v>
      </c>
      <c r="T1254" s="3">
        <f t="shared" si="18"/>
        <v>4</v>
      </c>
      <c r="U1254" s="3">
        <v>12</v>
      </c>
      <c r="V1254" s="3">
        <v>1</v>
      </c>
      <c r="X1254" s="2" t="s">
        <v>471</v>
      </c>
      <c r="Y1254" s="18">
        <v>0</v>
      </c>
      <c r="Z1254" s="18">
        <v>0</v>
      </c>
      <c r="AA1254" s="18">
        <v>0</v>
      </c>
      <c r="AB1254" s="18">
        <v>0</v>
      </c>
      <c r="AC1254" s="18">
        <v>2</v>
      </c>
      <c r="AD1254" s="18">
        <v>0</v>
      </c>
      <c r="AE1254" s="18">
        <v>3</v>
      </c>
      <c r="AN1254" s="3">
        <f t="shared" si="19"/>
        <v>5</v>
      </c>
      <c r="AO1254" s="3">
        <v>10</v>
      </c>
      <c r="AP1254" s="3">
        <v>0</v>
      </c>
      <c r="AR1254" s="2" t="s">
        <v>489</v>
      </c>
    </row>
    <row r="1255" spans="1:44" ht="12.75" customHeight="1">
      <c r="A1255" s="5">
        <v>39200</v>
      </c>
      <c r="C1255" s="2" t="s">
        <v>374</v>
      </c>
      <c r="E1255" s="18">
        <v>0</v>
      </c>
      <c r="F1255" s="18">
        <v>1</v>
      </c>
      <c r="G1255" s="18">
        <v>0</v>
      </c>
      <c r="H1255" s="18">
        <v>0</v>
      </c>
      <c r="I1255" s="18">
        <v>0</v>
      </c>
      <c r="T1255" s="3">
        <f t="shared" si="18"/>
        <v>1</v>
      </c>
      <c r="U1255" s="3">
        <v>4</v>
      </c>
      <c r="V1255" s="3">
        <v>1</v>
      </c>
      <c r="X1255" s="2" t="s">
        <v>497</v>
      </c>
      <c r="Y1255" s="18">
        <v>7</v>
      </c>
      <c r="Z1255" s="18">
        <v>1</v>
      </c>
      <c r="AA1255" s="18">
        <v>0</v>
      </c>
      <c r="AB1255" s="18">
        <v>5</v>
      </c>
      <c r="AC1255" s="18">
        <v>0</v>
      </c>
      <c r="AN1255" s="3">
        <f t="shared" si="19"/>
        <v>13</v>
      </c>
      <c r="AO1255" s="3">
        <v>12</v>
      </c>
      <c r="AP1255" s="3">
        <v>0</v>
      </c>
      <c r="AR1255" s="2" t="s">
        <v>488</v>
      </c>
    </row>
    <row r="1256" spans="1:44" ht="12.75" customHeight="1">
      <c r="A1256" s="5">
        <v>39202</v>
      </c>
      <c r="B1256" s="2" t="s">
        <v>152</v>
      </c>
      <c r="C1256" s="2" t="s">
        <v>192</v>
      </c>
      <c r="E1256" s="18">
        <v>0</v>
      </c>
      <c r="F1256" s="18">
        <v>0</v>
      </c>
      <c r="G1256" s="18">
        <v>3</v>
      </c>
      <c r="H1256" s="18">
        <v>3</v>
      </c>
      <c r="I1256" s="18">
        <v>0</v>
      </c>
      <c r="J1256" s="18">
        <v>3</v>
      </c>
      <c r="K1256" s="18">
        <v>0</v>
      </c>
      <c r="T1256" s="3">
        <f t="shared" si="18"/>
        <v>9</v>
      </c>
      <c r="U1256" s="3">
        <v>13</v>
      </c>
      <c r="V1256" s="3">
        <v>0</v>
      </c>
      <c r="X1256" s="2" t="s">
        <v>472</v>
      </c>
      <c r="Y1256" s="18">
        <v>0</v>
      </c>
      <c r="Z1256" s="18">
        <v>0</v>
      </c>
      <c r="AA1256" s="18">
        <v>5</v>
      </c>
      <c r="AB1256" s="18">
        <v>1</v>
      </c>
      <c r="AC1256" s="18">
        <v>1</v>
      </c>
      <c r="AD1256" s="18">
        <v>0</v>
      </c>
      <c r="AE1256" s="18">
        <v>0</v>
      </c>
      <c r="AN1256" s="3">
        <f t="shared" si="19"/>
        <v>7</v>
      </c>
      <c r="AO1256" s="3">
        <v>12</v>
      </c>
      <c r="AP1256" s="3">
        <v>3</v>
      </c>
      <c r="AR1256" s="2" t="s">
        <v>487</v>
      </c>
    </row>
    <row r="1257" spans="1:44" ht="12.75" customHeight="1">
      <c r="A1257" s="5">
        <v>39206</v>
      </c>
      <c r="C1257" s="2" t="s">
        <v>236</v>
      </c>
      <c r="E1257" s="18">
        <v>0</v>
      </c>
      <c r="F1257" s="18">
        <v>0</v>
      </c>
      <c r="G1257" s="18">
        <v>0</v>
      </c>
      <c r="H1257" s="18">
        <v>0</v>
      </c>
      <c r="I1257" s="18">
        <v>0</v>
      </c>
      <c r="T1257" s="3">
        <f t="shared" si="18"/>
        <v>0</v>
      </c>
      <c r="U1257" s="3">
        <v>6</v>
      </c>
      <c r="V1257" s="3">
        <v>3</v>
      </c>
      <c r="X1257" s="2" t="s">
        <v>473</v>
      </c>
      <c r="Y1257" s="18">
        <v>0</v>
      </c>
      <c r="Z1257" s="18">
        <v>5</v>
      </c>
      <c r="AA1257" s="18">
        <v>0</v>
      </c>
      <c r="AB1257" s="18">
        <v>4</v>
      </c>
      <c r="AC1257" s="18">
        <v>5</v>
      </c>
      <c r="AN1257" s="3">
        <f t="shared" si="19"/>
        <v>14</v>
      </c>
      <c r="AO1257" s="3">
        <v>14</v>
      </c>
      <c r="AP1257" s="3">
        <v>0</v>
      </c>
      <c r="AR1257" s="2" t="s">
        <v>486</v>
      </c>
    </row>
    <row r="1258" spans="1:44" ht="12.75" customHeight="1">
      <c r="A1258" s="5">
        <v>39210</v>
      </c>
      <c r="C1258" s="2" t="s">
        <v>290</v>
      </c>
      <c r="E1258" s="18">
        <v>0</v>
      </c>
      <c r="F1258" s="18">
        <v>0</v>
      </c>
      <c r="G1258" s="18">
        <v>3</v>
      </c>
      <c r="H1258" s="18">
        <v>0</v>
      </c>
      <c r="I1258" s="18">
        <v>7</v>
      </c>
      <c r="J1258" s="18">
        <v>1</v>
      </c>
      <c r="K1258" s="18" t="s">
        <v>162</v>
      </c>
      <c r="T1258" s="3">
        <f t="shared" si="18"/>
        <v>11</v>
      </c>
      <c r="U1258" s="3">
        <v>12</v>
      </c>
      <c r="V1258" s="3">
        <v>2</v>
      </c>
      <c r="X1258" s="2" t="s">
        <v>474</v>
      </c>
      <c r="Y1258" s="18">
        <v>0</v>
      </c>
      <c r="Z1258" s="18">
        <v>0</v>
      </c>
      <c r="AA1258" s="18">
        <v>0</v>
      </c>
      <c r="AB1258" s="18">
        <v>1</v>
      </c>
      <c r="AC1258" s="18">
        <v>0</v>
      </c>
      <c r="AD1258" s="18">
        <v>0</v>
      </c>
      <c r="AE1258" s="18">
        <v>0</v>
      </c>
      <c r="AN1258" s="3">
        <f t="shared" si="19"/>
        <v>1</v>
      </c>
      <c r="AO1258" s="3">
        <v>5</v>
      </c>
      <c r="AP1258" s="3">
        <v>5</v>
      </c>
      <c r="AR1258" s="2" t="s">
        <v>485</v>
      </c>
    </row>
    <row r="1259" spans="1:44" ht="12.75" customHeight="1">
      <c r="A1259" s="5">
        <v>39211</v>
      </c>
      <c r="B1259" s="2" t="s">
        <v>152</v>
      </c>
      <c r="C1259" s="2" t="s">
        <v>191</v>
      </c>
      <c r="E1259" s="18">
        <v>1</v>
      </c>
      <c r="F1259" s="18">
        <v>2</v>
      </c>
      <c r="G1259" s="18">
        <v>0</v>
      </c>
      <c r="H1259" s="18">
        <v>0</v>
      </c>
      <c r="I1259" s="18">
        <v>0</v>
      </c>
      <c r="J1259" s="18">
        <v>0</v>
      </c>
      <c r="K1259" s="18">
        <v>1</v>
      </c>
      <c r="T1259" s="3">
        <f t="shared" si="18"/>
        <v>4</v>
      </c>
      <c r="U1259" s="3">
        <v>10</v>
      </c>
      <c r="V1259" s="3">
        <v>2</v>
      </c>
      <c r="X1259" s="2" t="s">
        <v>475</v>
      </c>
      <c r="Y1259" s="18">
        <v>4</v>
      </c>
      <c r="Z1259" s="18">
        <v>0</v>
      </c>
      <c r="AA1259" s="18">
        <v>1</v>
      </c>
      <c r="AB1259" s="18">
        <v>2</v>
      </c>
      <c r="AC1259" s="18">
        <v>1</v>
      </c>
      <c r="AD1259" s="18">
        <v>2</v>
      </c>
      <c r="AE1259" s="18" t="s">
        <v>162</v>
      </c>
      <c r="AN1259" s="3">
        <f t="shared" si="19"/>
        <v>10</v>
      </c>
      <c r="AO1259" s="3">
        <v>13</v>
      </c>
      <c r="AP1259" s="3">
        <v>2</v>
      </c>
      <c r="AR1259" s="2" t="s">
        <v>484</v>
      </c>
    </row>
    <row r="1260" spans="1:44" ht="12.75" customHeight="1">
      <c r="A1260" s="5">
        <v>39213</v>
      </c>
      <c r="C1260" s="2" t="s">
        <v>135</v>
      </c>
      <c r="E1260" s="18">
        <v>0</v>
      </c>
      <c r="F1260" s="18">
        <v>0</v>
      </c>
      <c r="G1260" s="18">
        <v>2</v>
      </c>
      <c r="H1260" s="18">
        <v>1</v>
      </c>
      <c r="I1260" s="18">
        <v>2</v>
      </c>
      <c r="J1260" s="18">
        <v>0</v>
      </c>
      <c r="K1260" s="18">
        <v>2</v>
      </c>
      <c r="T1260" s="3">
        <f t="shared" si="18"/>
        <v>7</v>
      </c>
      <c r="U1260" s="3">
        <v>8</v>
      </c>
      <c r="V1260" s="3">
        <v>7</v>
      </c>
      <c r="X1260" s="2" t="s">
        <v>476</v>
      </c>
      <c r="Y1260" s="18">
        <v>3</v>
      </c>
      <c r="Z1260" s="18">
        <v>3</v>
      </c>
      <c r="AA1260" s="18">
        <v>4</v>
      </c>
      <c r="AB1260" s="18">
        <v>0</v>
      </c>
      <c r="AC1260" s="18">
        <v>1</v>
      </c>
      <c r="AD1260" s="18">
        <v>3</v>
      </c>
      <c r="AE1260" s="18">
        <v>2</v>
      </c>
      <c r="AN1260" s="3">
        <f t="shared" si="19"/>
        <v>16</v>
      </c>
      <c r="AO1260" s="3">
        <v>11</v>
      </c>
      <c r="AP1260" s="3">
        <v>4</v>
      </c>
      <c r="AR1260" s="2" t="s">
        <v>483</v>
      </c>
    </row>
    <row r="1261" spans="1:44" ht="12.75" customHeight="1">
      <c r="A1261" s="5">
        <v>39216</v>
      </c>
      <c r="B1261" s="2" t="s">
        <v>152</v>
      </c>
      <c r="C1261" s="2" t="s">
        <v>392</v>
      </c>
      <c r="E1261" s="18">
        <v>0</v>
      </c>
      <c r="F1261" s="18">
        <v>0</v>
      </c>
      <c r="G1261" s="18">
        <v>0</v>
      </c>
      <c r="H1261" s="18">
        <v>2</v>
      </c>
      <c r="I1261" s="18">
        <v>0</v>
      </c>
      <c r="J1261" s="18">
        <v>1</v>
      </c>
      <c r="K1261" s="18">
        <v>1</v>
      </c>
      <c r="T1261" s="3">
        <f t="shared" si="18"/>
        <v>4</v>
      </c>
      <c r="U1261" s="3">
        <v>6</v>
      </c>
      <c r="V1261" s="3">
        <v>0</v>
      </c>
      <c r="X1261" s="2" t="s">
        <v>478</v>
      </c>
      <c r="Y1261" s="18">
        <v>1</v>
      </c>
      <c r="Z1261" s="18">
        <v>6</v>
      </c>
      <c r="AA1261" s="18">
        <v>0</v>
      </c>
      <c r="AB1261" s="18">
        <v>0</v>
      </c>
      <c r="AC1261" s="18">
        <v>1</v>
      </c>
      <c r="AD1261" s="18">
        <v>0</v>
      </c>
      <c r="AE1261" s="18" t="s">
        <v>162</v>
      </c>
      <c r="AN1261" s="3">
        <f t="shared" si="19"/>
        <v>8</v>
      </c>
      <c r="AO1261" s="3">
        <v>10</v>
      </c>
      <c r="AP1261" s="3">
        <v>0</v>
      </c>
      <c r="AR1261" s="2" t="s">
        <v>482</v>
      </c>
    </row>
    <row r="1262" spans="1:44" ht="12.75" customHeight="1">
      <c r="A1262" s="5">
        <v>39219</v>
      </c>
      <c r="B1262" s="2" t="s">
        <v>152</v>
      </c>
      <c r="C1262" s="2" t="s">
        <v>2213</v>
      </c>
      <c r="E1262" s="18">
        <v>2</v>
      </c>
      <c r="F1262" s="18">
        <v>0</v>
      </c>
      <c r="G1262" s="18">
        <v>0</v>
      </c>
      <c r="H1262" s="18">
        <v>3</v>
      </c>
      <c r="I1262" s="18">
        <v>0</v>
      </c>
      <c r="J1262" s="18">
        <v>0</v>
      </c>
      <c r="K1262" s="18">
        <v>0</v>
      </c>
      <c r="T1262" s="3">
        <f t="shared" si="18"/>
        <v>5</v>
      </c>
      <c r="U1262" s="3">
        <v>3</v>
      </c>
      <c r="V1262" s="3">
        <v>0</v>
      </c>
      <c r="X1262" s="2" t="s">
        <v>477</v>
      </c>
      <c r="Y1262" s="18">
        <v>0</v>
      </c>
      <c r="Z1262" s="18">
        <v>0</v>
      </c>
      <c r="AA1262" s="18">
        <v>0</v>
      </c>
      <c r="AB1262" s="18">
        <v>1</v>
      </c>
      <c r="AC1262" s="18">
        <v>0</v>
      </c>
      <c r="AD1262" s="18">
        <v>0</v>
      </c>
      <c r="AE1262" s="18">
        <v>0</v>
      </c>
      <c r="AN1262" s="3">
        <f t="shared" si="19"/>
        <v>1</v>
      </c>
      <c r="AO1262" s="3">
        <v>4</v>
      </c>
      <c r="AP1262" s="3">
        <v>2</v>
      </c>
      <c r="AR1262" s="2" t="s">
        <v>481</v>
      </c>
    </row>
    <row r="1263" spans="1:44" ht="12.75" customHeight="1">
      <c r="A1263" s="5">
        <v>39220</v>
      </c>
      <c r="B1263" s="2" t="s">
        <v>152</v>
      </c>
      <c r="C1263" s="2" t="s">
        <v>175</v>
      </c>
      <c r="E1263" s="18">
        <v>1</v>
      </c>
      <c r="F1263" s="18">
        <v>0</v>
      </c>
      <c r="G1263" s="18">
        <v>2</v>
      </c>
      <c r="H1263" s="18">
        <v>0</v>
      </c>
      <c r="I1263" s="18">
        <v>2</v>
      </c>
      <c r="J1263" s="18">
        <v>1</v>
      </c>
      <c r="K1263" s="18">
        <v>0</v>
      </c>
      <c r="T1263" s="3">
        <f t="shared" si="18"/>
        <v>6</v>
      </c>
      <c r="U1263" s="3">
        <v>9</v>
      </c>
      <c r="V1263" s="3">
        <v>1</v>
      </c>
      <c r="X1263" s="2" t="s">
        <v>592</v>
      </c>
      <c r="Y1263" s="18">
        <v>2</v>
      </c>
      <c r="Z1263" s="18">
        <v>1</v>
      </c>
      <c r="AA1263" s="18">
        <v>0</v>
      </c>
      <c r="AB1263" s="18">
        <v>0</v>
      </c>
      <c r="AC1263" s="18">
        <v>1</v>
      </c>
      <c r="AD1263" s="18">
        <v>0</v>
      </c>
      <c r="AE1263" s="18">
        <v>3</v>
      </c>
      <c r="AN1263" s="3">
        <f t="shared" si="19"/>
        <v>7</v>
      </c>
      <c r="AO1263" s="3">
        <v>12</v>
      </c>
      <c r="AP1263" s="3">
        <v>2</v>
      </c>
      <c r="AR1263" s="2" t="s">
        <v>384</v>
      </c>
    </row>
    <row r="1264" spans="1:44" ht="12.75" customHeight="1">
      <c r="A1264" s="5">
        <v>39221</v>
      </c>
      <c r="C1264" s="2" t="s">
        <v>367</v>
      </c>
      <c r="E1264" s="18">
        <v>1</v>
      </c>
      <c r="F1264" s="18">
        <v>0</v>
      </c>
      <c r="G1264" s="18">
        <v>1</v>
      </c>
      <c r="H1264" s="18">
        <v>1</v>
      </c>
      <c r="I1264" s="18">
        <v>0</v>
      </c>
      <c r="J1264" s="18">
        <v>0</v>
      </c>
      <c r="K1264" s="18">
        <v>2</v>
      </c>
      <c r="T1264" s="3">
        <f t="shared" si="18"/>
        <v>5</v>
      </c>
      <c r="U1264" s="3">
        <v>9</v>
      </c>
      <c r="V1264" s="3">
        <v>3</v>
      </c>
      <c r="X1264" s="2" t="s">
        <v>472</v>
      </c>
      <c r="Y1264" s="18">
        <v>0</v>
      </c>
      <c r="Z1264" s="18">
        <v>0</v>
      </c>
      <c r="AA1264" s="18">
        <v>1</v>
      </c>
      <c r="AB1264" s="18">
        <v>0</v>
      </c>
      <c r="AC1264" s="18">
        <v>3</v>
      </c>
      <c r="AD1264" s="18">
        <v>0</v>
      </c>
      <c r="AE1264" s="18">
        <v>2</v>
      </c>
      <c r="AN1264" s="3">
        <f t="shared" si="19"/>
        <v>6</v>
      </c>
      <c r="AO1264" s="3">
        <v>11</v>
      </c>
      <c r="AP1264" s="3">
        <v>2</v>
      </c>
      <c r="AR1264" s="2" t="s">
        <v>593</v>
      </c>
    </row>
    <row r="1265" spans="1:44" ht="12.75" customHeight="1">
      <c r="A1265" s="5">
        <v>39232</v>
      </c>
      <c r="B1265" s="2" t="s">
        <v>239</v>
      </c>
      <c r="C1265" s="2" t="s">
        <v>183</v>
      </c>
      <c r="D1265" s="2" t="s">
        <v>258</v>
      </c>
      <c r="E1265" s="18">
        <v>0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T1265" s="3">
        <f t="shared" si="18"/>
        <v>0</v>
      </c>
      <c r="U1265" s="3">
        <v>0</v>
      </c>
      <c r="V1265" s="3">
        <v>1</v>
      </c>
      <c r="X1265" s="2" t="s">
        <v>472</v>
      </c>
      <c r="Y1265" s="18">
        <v>2</v>
      </c>
      <c r="Z1265" s="18">
        <v>1</v>
      </c>
      <c r="AA1265" s="18">
        <v>0</v>
      </c>
      <c r="AB1265" s="18">
        <v>0</v>
      </c>
      <c r="AC1265" s="18">
        <v>0</v>
      </c>
      <c r="AD1265" s="18">
        <v>1</v>
      </c>
      <c r="AE1265" s="18" t="s">
        <v>162</v>
      </c>
      <c r="AN1265" s="3">
        <f t="shared" si="19"/>
        <v>4</v>
      </c>
      <c r="AO1265" s="3">
        <v>7</v>
      </c>
      <c r="AP1265" s="3">
        <v>3</v>
      </c>
      <c r="AR1265" s="2" t="s">
        <v>480</v>
      </c>
    </row>
    <row r="1266" ht="12.75" customHeight="1"/>
    <row r="1267" spans="1:45" ht="12.75" customHeight="1">
      <c r="A1267" s="5">
        <v>39529</v>
      </c>
      <c r="B1267" s="2" t="s">
        <v>152</v>
      </c>
      <c r="C1267" s="2" t="s">
        <v>1910</v>
      </c>
      <c r="E1267" s="18">
        <v>0</v>
      </c>
      <c r="F1267" s="18">
        <v>0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T1267" s="3">
        <f t="shared" si="18"/>
        <v>0</v>
      </c>
      <c r="U1267" s="3">
        <v>2</v>
      </c>
      <c r="V1267" s="3">
        <v>5</v>
      </c>
      <c r="X1267" s="2" t="s">
        <v>1494</v>
      </c>
      <c r="Y1267" s="18">
        <v>0</v>
      </c>
      <c r="Z1267" s="18">
        <v>3</v>
      </c>
      <c r="AA1267" s="18">
        <v>0</v>
      </c>
      <c r="AB1267" s="18">
        <v>0</v>
      </c>
      <c r="AC1267" s="18">
        <v>5</v>
      </c>
      <c r="AD1267" s="18">
        <v>1</v>
      </c>
      <c r="AE1267" s="18" t="s">
        <v>162</v>
      </c>
      <c r="AN1267" s="3">
        <f t="shared" si="19"/>
        <v>9</v>
      </c>
      <c r="AO1267" s="3">
        <v>7</v>
      </c>
      <c r="AP1267" s="3">
        <v>2</v>
      </c>
      <c r="AR1267" s="2" t="s">
        <v>1495</v>
      </c>
      <c r="AS1267" s="2" t="s">
        <v>1848</v>
      </c>
    </row>
    <row r="1268" spans="1:46" ht="12.75" customHeight="1">
      <c r="A1268" s="5">
        <v>39541</v>
      </c>
      <c r="B1268" s="2" t="s">
        <v>152</v>
      </c>
      <c r="C1268" s="2" t="s">
        <v>374</v>
      </c>
      <c r="E1268" s="18">
        <v>2</v>
      </c>
      <c r="F1268" s="18">
        <v>0</v>
      </c>
      <c r="G1268" s="18">
        <v>0</v>
      </c>
      <c r="H1268" s="18">
        <v>1</v>
      </c>
      <c r="I1268" s="18">
        <v>0</v>
      </c>
      <c r="J1268" s="18">
        <v>0</v>
      </c>
      <c r="K1268" s="18">
        <v>0</v>
      </c>
      <c r="T1268" s="3">
        <f t="shared" si="18"/>
        <v>3</v>
      </c>
      <c r="U1268" s="3">
        <v>8</v>
      </c>
      <c r="V1268" s="3">
        <v>3</v>
      </c>
      <c r="X1268" s="2" t="s">
        <v>1494</v>
      </c>
      <c r="Y1268" s="18">
        <v>1</v>
      </c>
      <c r="Z1268" s="18">
        <v>0</v>
      </c>
      <c r="AA1268" s="18">
        <v>0</v>
      </c>
      <c r="AB1268" s="18">
        <v>2</v>
      </c>
      <c r="AC1268" s="18">
        <v>2</v>
      </c>
      <c r="AD1268" s="18">
        <v>0</v>
      </c>
      <c r="AE1268" s="18" t="s">
        <v>162</v>
      </c>
      <c r="AN1268" s="3">
        <f t="shared" si="19"/>
        <v>5</v>
      </c>
      <c r="AO1268" s="3">
        <v>6</v>
      </c>
      <c r="AP1268" s="3">
        <v>1</v>
      </c>
      <c r="AR1268" s="2" t="s">
        <v>1237</v>
      </c>
      <c r="AS1268" s="2" t="s">
        <v>2329</v>
      </c>
      <c r="AT1268" s="2">
        <v>15</v>
      </c>
    </row>
    <row r="1269" spans="1:44" ht="12.75" customHeight="1">
      <c r="A1269" s="5">
        <v>39545</v>
      </c>
      <c r="B1269" s="2" t="s">
        <v>152</v>
      </c>
      <c r="C1269" s="2" t="s">
        <v>138</v>
      </c>
      <c r="E1269" s="18">
        <v>4</v>
      </c>
      <c r="F1269" s="18">
        <v>0</v>
      </c>
      <c r="G1269" s="18">
        <v>0</v>
      </c>
      <c r="H1269" s="18">
        <v>0</v>
      </c>
      <c r="I1269" s="18">
        <v>0</v>
      </c>
      <c r="J1269" s="18">
        <v>1</v>
      </c>
      <c r="K1269" s="18">
        <v>0</v>
      </c>
      <c r="T1269" s="3">
        <f t="shared" si="18"/>
        <v>5</v>
      </c>
      <c r="U1269" s="3">
        <v>4</v>
      </c>
      <c r="V1269" s="3">
        <v>4</v>
      </c>
      <c r="X1269" s="2" t="s">
        <v>978</v>
      </c>
      <c r="Y1269" s="18">
        <v>4</v>
      </c>
      <c r="Z1269" s="18">
        <v>2</v>
      </c>
      <c r="AA1269" s="18">
        <v>1</v>
      </c>
      <c r="AB1269" s="18">
        <v>2</v>
      </c>
      <c r="AC1269" s="18">
        <v>1</v>
      </c>
      <c r="AD1269" s="18">
        <v>0</v>
      </c>
      <c r="AE1269" s="18" t="s">
        <v>162</v>
      </c>
      <c r="AN1269" s="3">
        <f t="shared" si="19"/>
        <v>10</v>
      </c>
      <c r="AO1269" s="3">
        <v>13</v>
      </c>
      <c r="AP1269" s="3">
        <v>5</v>
      </c>
      <c r="AR1269" s="2" t="s">
        <v>979</v>
      </c>
    </row>
    <row r="1270" spans="1:44" ht="12.75" customHeight="1">
      <c r="A1270" s="5">
        <v>39546</v>
      </c>
      <c r="B1270" s="2" t="s">
        <v>152</v>
      </c>
      <c r="C1270" s="2" t="s">
        <v>236</v>
      </c>
      <c r="E1270" s="18">
        <v>0</v>
      </c>
      <c r="F1270" s="18">
        <v>0</v>
      </c>
      <c r="G1270" s="18">
        <v>1</v>
      </c>
      <c r="H1270" s="18">
        <v>2</v>
      </c>
      <c r="I1270" s="18">
        <v>1</v>
      </c>
      <c r="J1270" s="18">
        <v>2</v>
      </c>
      <c r="K1270" s="18">
        <v>0</v>
      </c>
      <c r="T1270" s="3">
        <f t="shared" si="18"/>
        <v>6</v>
      </c>
      <c r="U1270" s="3">
        <v>13</v>
      </c>
      <c r="V1270" s="3">
        <v>7</v>
      </c>
      <c r="X1270" s="2" t="s">
        <v>684</v>
      </c>
      <c r="Y1270" s="18">
        <v>3</v>
      </c>
      <c r="Z1270" s="18">
        <v>2</v>
      </c>
      <c r="AA1270" s="18">
        <v>3</v>
      </c>
      <c r="AB1270" s="18">
        <v>3</v>
      </c>
      <c r="AC1270" s="18">
        <v>0</v>
      </c>
      <c r="AD1270" s="18">
        <v>0</v>
      </c>
      <c r="AE1270" s="18" t="s">
        <v>162</v>
      </c>
      <c r="AN1270" s="3">
        <f t="shared" si="19"/>
        <v>11</v>
      </c>
      <c r="AO1270" s="3">
        <v>9</v>
      </c>
      <c r="AP1270" s="3">
        <v>2</v>
      </c>
      <c r="AR1270" s="2" t="s">
        <v>685</v>
      </c>
    </row>
    <row r="1271" spans="1:44" ht="12.75" customHeight="1">
      <c r="A1271" s="5">
        <v>39548</v>
      </c>
      <c r="B1271" s="2" t="s">
        <v>152</v>
      </c>
      <c r="C1271" s="2" t="s">
        <v>137</v>
      </c>
      <c r="E1271" s="18">
        <v>1</v>
      </c>
      <c r="F1271" s="18">
        <v>1</v>
      </c>
      <c r="G1271" s="18">
        <v>4</v>
      </c>
      <c r="H1271" s="18">
        <v>1</v>
      </c>
      <c r="I1271" s="18">
        <v>1</v>
      </c>
      <c r="J1271" s="18">
        <v>0</v>
      </c>
      <c r="K1271" s="18">
        <v>0</v>
      </c>
      <c r="T1271" s="3">
        <f t="shared" si="18"/>
        <v>8</v>
      </c>
      <c r="U1271" s="3">
        <v>8</v>
      </c>
      <c r="V1271" s="3">
        <v>5</v>
      </c>
      <c r="X1271" s="2" t="s">
        <v>441</v>
      </c>
      <c r="Y1271" s="18">
        <v>4</v>
      </c>
      <c r="Z1271" s="18">
        <v>0</v>
      </c>
      <c r="AA1271" s="18">
        <v>0</v>
      </c>
      <c r="AB1271" s="18">
        <v>3</v>
      </c>
      <c r="AC1271" s="18">
        <v>0</v>
      </c>
      <c r="AD1271" s="18">
        <v>1</v>
      </c>
      <c r="AE1271" s="18">
        <v>1</v>
      </c>
      <c r="AN1271" s="3">
        <f t="shared" si="19"/>
        <v>9</v>
      </c>
      <c r="AO1271" s="3">
        <v>11</v>
      </c>
      <c r="AP1271" s="3">
        <v>3</v>
      </c>
      <c r="AR1271" s="2" t="s">
        <v>440</v>
      </c>
    </row>
    <row r="1272" spans="1:44" ht="12.75" customHeight="1">
      <c r="A1272" s="5">
        <v>39550</v>
      </c>
      <c r="C1272" s="2" t="s">
        <v>192</v>
      </c>
      <c r="E1272" s="18">
        <v>1</v>
      </c>
      <c r="F1272" s="18">
        <v>1</v>
      </c>
      <c r="G1272" s="18">
        <v>1</v>
      </c>
      <c r="H1272" s="18">
        <v>2</v>
      </c>
      <c r="I1272" s="18">
        <v>0</v>
      </c>
      <c r="J1272" s="18">
        <v>2</v>
      </c>
      <c r="K1272" s="18">
        <v>0</v>
      </c>
      <c r="T1272" s="3">
        <f t="shared" si="18"/>
        <v>7</v>
      </c>
      <c r="U1272" s="3">
        <v>10</v>
      </c>
      <c r="V1272" s="3">
        <v>1</v>
      </c>
      <c r="X1272" s="2" t="s">
        <v>442</v>
      </c>
      <c r="Y1272" s="18">
        <v>2</v>
      </c>
      <c r="Z1272" s="18">
        <v>0</v>
      </c>
      <c r="AA1272" s="18">
        <v>3</v>
      </c>
      <c r="AB1272" s="18">
        <v>2</v>
      </c>
      <c r="AC1272" s="18">
        <v>0</v>
      </c>
      <c r="AD1272" s="18">
        <v>3</v>
      </c>
      <c r="AE1272" s="18">
        <v>0</v>
      </c>
      <c r="AN1272" s="3">
        <f t="shared" si="19"/>
        <v>10</v>
      </c>
      <c r="AO1272" s="3">
        <v>12</v>
      </c>
      <c r="AP1272" s="3">
        <v>2</v>
      </c>
      <c r="AR1272" s="2" t="s">
        <v>443</v>
      </c>
    </row>
    <row r="1273" spans="1:44" ht="12.75" customHeight="1">
      <c r="A1273" s="5">
        <v>39553</v>
      </c>
      <c r="B1273" s="2" t="s">
        <v>152</v>
      </c>
      <c r="C1273" s="2" t="s">
        <v>183</v>
      </c>
      <c r="E1273" s="18">
        <v>0</v>
      </c>
      <c r="F1273" s="18">
        <v>0</v>
      </c>
      <c r="G1273" s="18">
        <v>0</v>
      </c>
      <c r="H1273" s="18">
        <v>1</v>
      </c>
      <c r="I1273" s="18">
        <v>0</v>
      </c>
      <c r="J1273" s="18">
        <v>0</v>
      </c>
      <c r="K1273" s="18">
        <v>0</v>
      </c>
      <c r="T1273" s="3">
        <f t="shared" si="18"/>
        <v>1</v>
      </c>
      <c r="U1273" s="3">
        <v>1</v>
      </c>
      <c r="V1273" s="3">
        <v>2</v>
      </c>
      <c r="X1273" s="2" t="s">
        <v>94</v>
      </c>
      <c r="Y1273" s="18">
        <v>1</v>
      </c>
      <c r="Z1273" s="18">
        <v>2</v>
      </c>
      <c r="AA1273" s="18">
        <v>0</v>
      </c>
      <c r="AB1273" s="18">
        <v>0</v>
      </c>
      <c r="AC1273" s="18">
        <v>4</v>
      </c>
      <c r="AD1273" s="18">
        <v>0</v>
      </c>
      <c r="AE1273" s="18" t="s">
        <v>162</v>
      </c>
      <c r="AN1273" s="3">
        <f t="shared" si="19"/>
        <v>7</v>
      </c>
      <c r="AO1273" s="3">
        <v>8</v>
      </c>
      <c r="AP1273" s="3">
        <v>2</v>
      </c>
      <c r="AR1273" s="2" t="s">
        <v>93</v>
      </c>
    </row>
    <row r="1274" spans="1:44" ht="12.75" customHeight="1">
      <c r="A1274" s="5">
        <v>39555</v>
      </c>
      <c r="C1274" s="2" t="s">
        <v>2213</v>
      </c>
      <c r="E1274" s="18">
        <v>0</v>
      </c>
      <c r="F1274" s="18">
        <v>0</v>
      </c>
      <c r="G1274" s="18">
        <v>0</v>
      </c>
      <c r="H1274" s="18">
        <v>2</v>
      </c>
      <c r="I1274" s="18">
        <v>0</v>
      </c>
      <c r="J1274" s="18">
        <v>0</v>
      </c>
      <c r="T1274" s="3">
        <f t="shared" si="18"/>
        <v>2</v>
      </c>
      <c r="U1274" s="3">
        <v>3</v>
      </c>
      <c r="V1274" s="3">
        <v>4</v>
      </c>
      <c r="X1274" s="2" t="s">
        <v>1756</v>
      </c>
      <c r="Y1274" s="18">
        <v>0</v>
      </c>
      <c r="Z1274" s="18">
        <v>3</v>
      </c>
      <c r="AA1274" s="18">
        <v>2</v>
      </c>
      <c r="AB1274" s="18">
        <v>2</v>
      </c>
      <c r="AC1274" s="18">
        <v>3</v>
      </c>
      <c r="AD1274" s="18">
        <v>6</v>
      </c>
      <c r="AN1274" s="3">
        <f t="shared" si="19"/>
        <v>16</v>
      </c>
      <c r="AO1274" s="3">
        <v>13</v>
      </c>
      <c r="AP1274" s="3">
        <v>2</v>
      </c>
      <c r="AR1274" s="2" t="s">
        <v>1757</v>
      </c>
    </row>
    <row r="1275" spans="1:44" ht="12.75" customHeight="1">
      <c r="A1275" s="5">
        <v>39557</v>
      </c>
      <c r="C1275" s="2" t="s">
        <v>1742</v>
      </c>
      <c r="E1275" s="18">
        <v>1</v>
      </c>
      <c r="F1275" s="18">
        <v>0</v>
      </c>
      <c r="G1275" s="18">
        <v>3</v>
      </c>
      <c r="H1275" s="18">
        <v>0</v>
      </c>
      <c r="I1275" s="18">
        <v>0</v>
      </c>
      <c r="J1275" s="18">
        <v>4</v>
      </c>
      <c r="K1275" s="18">
        <v>0</v>
      </c>
      <c r="T1275" s="3">
        <f t="shared" si="18"/>
        <v>8</v>
      </c>
      <c r="U1275" s="3">
        <v>8</v>
      </c>
      <c r="V1275" s="3">
        <v>6</v>
      </c>
      <c r="X1275" s="2" t="s">
        <v>1492</v>
      </c>
      <c r="Y1275" s="18">
        <v>3</v>
      </c>
      <c r="Z1275" s="18">
        <v>0</v>
      </c>
      <c r="AA1275" s="18">
        <v>0</v>
      </c>
      <c r="AB1275" s="18">
        <v>4</v>
      </c>
      <c r="AC1275" s="18">
        <v>3</v>
      </c>
      <c r="AD1275" s="18">
        <v>0</v>
      </c>
      <c r="AE1275" s="18">
        <v>0</v>
      </c>
      <c r="AN1275" s="3">
        <f t="shared" si="19"/>
        <v>10</v>
      </c>
      <c r="AO1275" s="3">
        <v>13</v>
      </c>
      <c r="AP1275" s="3">
        <v>1</v>
      </c>
      <c r="AR1275" s="2" t="s">
        <v>1493</v>
      </c>
    </row>
    <row r="1276" spans="1:44" ht="12.75" customHeight="1">
      <c r="A1276" s="5">
        <v>39559</v>
      </c>
      <c r="B1276" s="2" t="s">
        <v>152</v>
      </c>
      <c r="C1276" s="2" t="s">
        <v>367</v>
      </c>
      <c r="E1276" s="18">
        <v>0</v>
      </c>
      <c r="F1276" s="18">
        <v>1</v>
      </c>
      <c r="G1276" s="18">
        <v>1</v>
      </c>
      <c r="H1276" s="18">
        <v>0</v>
      </c>
      <c r="I1276" s="18">
        <v>4</v>
      </c>
      <c r="J1276" s="18">
        <v>2</v>
      </c>
      <c r="K1276" s="18">
        <v>1</v>
      </c>
      <c r="T1276" s="3">
        <f t="shared" si="18"/>
        <v>9</v>
      </c>
      <c r="U1276" s="3">
        <v>11</v>
      </c>
      <c r="V1276" s="3">
        <v>1</v>
      </c>
      <c r="X1276" s="2" t="s">
        <v>477</v>
      </c>
      <c r="Y1276" s="18">
        <v>2</v>
      </c>
      <c r="Z1276" s="18">
        <v>0</v>
      </c>
      <c r="AA1276" s="18">
        <v>2</v>
      </c>
      <c r="AB1276" s="18">
        <v>0</v>
      </c>
      <c r="AC1276" s="18">
        <v>0</v>
      </c>
      <c r="AD1276" s="18">
        <v>0</v>
      </c>
      <c r="AE1276" s="18">
        <v>0</v>
      </c>
      <c r="AN1276" s="3">
        <f t="shared" si="19"/>
        <v>4</v>
      </c>
      <c r="AO1276" s="3">
        <v>5</v>
      </c>
      <c r="AP1276" s="3">
        <v>4</v>
      </c>
      <c r="AR1276" s="2" t="s">
        <v>1220</v>
      </c>
    </row>
    <row r="1277" spans="1:44" ht="12.75" customHeight="1">
      <c r="A1277" s="5">
        <v>39563</v>
      </c>
      <c r="B1277" s="2" t="s">
        <v>239</v>
      </c>
      <c r="C1277" s="2" t="s">
        <v>290</v>
      </c>
      <c r="D1277" s="2" t="s">
        <v>1743</v>
      </c>
      <c r="E1277" s="18">
        <v>0</v>
      </c>
      <c r="F1277" s="18">
        <v>0</v>
      </c>
      <c r="G1277" s="18">
        <v>0</v>
      </c>
      <c r="H1277" s="18">
        <v>2</v>
      </c>
      <c r="I1277" s="18">
        <v>0</v>
      </c>
      <c r="J1277" s="18">
        <v>3</v>
      </c>
      <c r="K1277" s="18">
        <v>1</v>
      </c>
      <c r="T1277" s="3">
        <f t="shared" si="18"/>
        <v>6</v>
      </c>
      <c r="U1277" s="3">
        <v>7</v>
      </c>
      <c r="V1277" s="3">
        <v>0</v>
      </c>
      <c r="X1277" s="2" t="s">
        <v>944</v>
      </c>
      <c r="Y1277" s="18">
        <v>1</v>
      </c>
      <c r="Z1277" s="18">
        <v>1</v>
      </c>
      <c r="AA1277" s="18">
        <v>1</v>
      </c>
      <c r="AB1277" s="18">
        <v>0</v>
      </c>
      <c r="AC1277" s="18">
        <v>0</v>
      </c>
      <c r="AD1277" s="18">
        <v>0</v>
      </c>
      <c r="AE1277" s="18">
        <v>0</v>
      </c>
      <c r="AN1277" s="3">
        <f t="shared" si="19"/>
        <v>3</v>
      </c>
      <c r="AO1277" s="3">
        <v>6</v>
      </c>
      <c r="AP1277" s="3">
        <v>3</v>
      </c>
      <c r="AR1277" s="2" t="s">
        <v>946</v>
      </c>
    </row>
    <row r="1278" spans="1:44" ht="12.75" customHeight="1">
      <c r="A1278" s="5">
        <v>39564</v>
      </c>
      <c r="B1278" s="2" t="s">
        <v>239</v>
      </c>
      <c r="C1278" s="2" t="s">
        <v>2214</v>
      </c>
      <c r="D1278" s="2" t="s">
        <v>1743</v>
      </c>
      <c r="E1278" s="18">
        <v>2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T1278" s="3">
        <f t="shared" si="18"/>
        <v>2</v>
      </c>
      <c r="U1278" s="3">
        <v>7</v>
      </c>
      <c r="V1278" s="3">
        <v>0</v>
      </c>
      <c r="X1278" s="2" t="s">
        <v>477</v>
      </c>
      <c r="Y1278" s="18">
        <v>1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  <c r="AE1278" s="18">
        <v>0</v>
      </c>
      <c r="AN1278" s="3">
        <f t="shared" si="19"/>
        <v>1</v>
      </c>
      <c r="AO1278" s="3">
        <v>7</v>
      </c>
      <c r="AP1278" s="3">
        <v>0</v>
      </c>
      <c r="AR1278" s="2" t="s">
        <v>947</v>
      </c>
    </row>
    <row r="1279" spans="1:44" ht="12.75" customHeight="1">
      <c r="A1279" s="5">
        <v>39565</v>
      </c>
      <c r="B1279" s="2" t="s">
        <v>239</v>
      </c>
      <c r="C1279" s="2" t="s">
        <v>943</v>
      </c>
      <c r="D1279" s="2" t="s">
        <v>1743</v>
      </c>
      <c r="E1279" s="18">
        <v>0</v>
      </c>
      <c r="F1279" s="18">
        <v>0</v>
      </c>
      <c r="G1279" s="18">
        <v>8</v>
      </c>
      <c r="H1279" s="18">
        <v>0</v>
      </c>
      <c r="I1279" s="18">
        <v>2</v>
      </c>
      <c r="J1279" s="18">
        <v>0</v>
      </c>
      <c r="K1279" s="18" t="s">
        <v>162</v>
      </c>
      <c r="T1279" s="3">
        <f t="shared" si="18"/>
        <v>10</v>
      </c>
      <c r="U1279" s="3">
        <v>11</v>
      </c>
      <c r="V1279" s="3">
        <v>1</v>
      </c>
      <c r="X1279" s="2" t="s">
        <v>945</v>
      </c>
      <c r="Y1279" s="18">
        <v>1</v>
      </c>
      <c r="Z1279" s="18">
        <v>0</v>
      </c>
      <c r="AA1279" s="18">
        <v>0</v>
      </c>
      <c r="AB1279" s="18">
        <v>6</v>
      </c>
      <c r="AC1279" s="18">
        <v>1</v>
      </c>
      <c r="AD1279" s="18">
        <v>0</v>
      </c>
      <c r="AE1279" s="18">
        <v>1</v>
      </c>
      <c r="AN1279" s="3">
        <f t="shared" si="19"/>
        <v>9</v>
      </c>
      <c r="AO1279" s="3">
        <v>11</v>
      </c>
      <c r="AP1279" s="3">
        <v>1</v>
      </c>
      <c r="AR1279" s="2" t="s">
        <v>948</v>
      </c>
    </row>
    <row r="1280" spans="1:44" ht="12.75" customHeight="1">
      <c r="A1280" s="5">
        <v>39567</v>
      </c>
      <c r="C1280" s="2" t="s">
        <v>254</v>
      </c>
      <c r="E1280" s="18">
        <v>0</v>
      </c>
      <c r="F1280" s="18">
        <v>0</v>
      </c>
      <c r="G1280" s="18">
        <v>2</v>
      </c>
      <c r="H1280" s="18">
        <v>0</v>
      </c>
      <c r="I1280" s="18">
        <v>0</v>
      </c>
      <c r="J1280" s="18">
        <v>3</v>
      </c>
      <c r="K1280" s="18">
        <v>0</v>
      </c>
      <c r="T1280" s="3">
        <f t="shared" si="18"/>
        <v>5</v>
      </c>
      <c r="U1280" s="3">
        <v>5</v>
      </c>
      <c r="V1280" s="3">
        <v>7</v>
      </c>
      <c r="X1280" s="2" t="s">
        <v>978</v>
      </c>
      <c r="Y1280" s="18">
        <v>0</v>
      </c>
      <c r="Z1280" s="18">
        <v>0</v>
      </c>
      <c r="AA1280" s="18">
        <v>0</v>
      </c>
      <c r="AB1280" s="18">
        <v>1</v>
      </c>
      <c r="AC1280" s="18">
        <v>1</v>
      </c>
      <c r="AD1280" s="18">
        <v>3</v>
      </c>
      <c r="AE1280" s="18">
        <v>6</v>
      </c>
      <c r="AN1280" s="3">
        <f t="shared" si="19"/>
        <v>11</v>
      </c>
      <c r="AO1280" s="3">
        <v>9</v>
      </c>
      <c r="AP1280" s="3">
        <v>1</v>
      </c>
      <c r="AR1280" s="2" t="s">
        <v>639</v>
      </c>
    </row>
    <row r="1281" spans="1:44" ht="12.75" customHeight="1">
      <c r="A1281" s="5">
        <v>39570</v>
      </c>
      <c r="B1281" s="2" t="s">
        <v>152</v>
      </c>
      <c r="C1281" s="2" t="s">
        <v>174</v>
      </c>
      <c r="E1281" s="18">
        <v>1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T1281" s="3">
        <f t="shared" si="18"/>
        <v>1</v>
      </c>
      <c r="U1281" s="3">
        <v>5</v>
      </c>
      <c r="V1281" s="3">
        <v>2</v>
      </c>
      <c r="X1281" s="2" t="s">
        <v>380</v>
      </c>
      <c r="Y1281" s="18">
        <v>0</v>
      </c>
      <c r="Z1281" s="18">
        <v>1</v>
      </c>
      <c r="AA1281" s="18">
        <v>0</v>
      </c>
      <c r="AB1281" s="18">
        <v>1</v>
      </c>
      <c r="AC1281" s="18">
        <v>0</v>
      </c>
      <c r="AD1281" s="18">
        <v>0</v>
      </c>
      <c r="AE1281" s="18" t="s">
        <v>162</v>
      </c>
      <c r="AN1281" s="3">
        <f t="shared" si="19"/>
        <v>2</v>
      </c>
      <c r="AO1281" s="3">
        <v>6</v>
      </c>
      <c r="AP1281" s="3">
        <v>3</v>
      </c>
      <c r="AR1281" s="2" t="s">
        <v>381</v>
      </c>
    </row>
    <row r="1282" spans="1:44" ht="12.75" customHeight="1">
      <c r="A1282" s="5">
        <v>39573</v>
      </c>
      <c r="C1282" s="2" t="s">
        <v>371</v>
      </c>
      <c r="E1282" s="18">
        <v>1</v>
      </c>
      <c r="F1282" s="18">
        <v>0</v>
      </c>
      <c r="G1282" s="18">
        <v>4</v>
      </c>
      <c r="H1282" s="18">
        <v>3</v>
      </c>
      <c r="I1282" s="18">
        <v>1</v>
      </c>
      <c r="J1282" s="18">
        <v>1</v>
      </c>
      <c r="K1282" s="18" t="s">
        <v>162</v>
      </c>
      <c r="T1282" s="3">
        <f t="shared" si="18"/>
        <v>10</v>
      </c>
      <c r="U1282" s="3">
        <v>8</v>
      </c>
      <c r="V1282" s="3">
        <v>3</v>
      </c>
      <c r="X1282" s="2" t="s">
        <v>1953</v>
      </c>
      <c r="Y1282" s="18">
        <v>3</v>
      </c>
      <c r="Z1282" s="18">
        <v>0</v>
      </c>
      <c r="AA1282" s="18">
        <v>1</v>
      </c>
      <c r="AB1282" s="18">
        <v>0</v>
      </c>
      <c r="AC1282" s="18">
        <v>0</v>
      </c>
      <c r="AD1282" s="18">
        <v>3</v>
      </c>
      <c r="AE1282" s="18">
        <v>1</v>
      </c>
      <c r="AN1282" s="3">
        <f t="shared" si="19"/>
        <v>8</v>
      </c>
      <c r="AO1282" s="3">
        <v>9</v>
      </c>
      <c r="AP1282" s="3">
        <v>6</v>
      </c>
      <c r="AR1282" s="2" t="s">
        <v>1952</v>
      </c>
    </row>
    <row r="1283" spans="1:44" ht="12.75" customHeight="1">
      <c r="A1283" s="5">
        <v>39574</v>
      </c>
      <c r="C1283" s="2" t="s">
        <v>175</v>
      </c>
      <c r="E1283" s="18">
        <v>2</v>
      </c>
      <c r="F1283" s="18">
        <v>0</v>
      </c>
      <c r="G1283" s="18">
        <v>0</v>
      </c>
      <c r="H1283" s="18">
        <v>2</v>
      </c>
      <c r="I1283" s="18">
        <v>0</v>
      </c>
      <c r="J1283" s="18">
        <v>0</v>
      </c>
      <c r="K1283" s="18">
        <v>0</v>
      </c>
      <c r="T1283" s="3">
        <f t="shared" si="18"/>
        <v>4</v>
      </c>
      <c r="U1283" s="3">
        <v>7</v>
      </c>
      <c r="V1283" s="3">
        <v>3</v>
      </c>
      <c r="X1283" s="2" t="s">
        <v>0</v>
      </c>
      <c r="Y1283" s="18">
        <v>3</v>
      </c>
      <c r="Z1283" s="18">
        <v>0</v>
      </c>
      <c r="AA1283" s="18">
        <v>1</v>
      </c>
      <c r="AB1283" s="18">
        <v>3</v>
      </c>
      <c r="AC1283" s="18">
        <v>4</v>
      </c>
      <c r="AD1283" s="18">
        <v>0</v>
      </c>
      <c r="AE1283" s="18">
        <v>3</v>
      </c>
      <c r="AN1283" s="3">
        <f t="shared" si="19"/>
        <v>14</v>
      </c>
      <c r="AO1283" s="3">
        <v>17</v>
      </c>
      <c r="AP1283" s="3">
        <v>2</v>
      </c>
      <c r="AR1283" s="2" t="s">
        <v>1</v>
      </c>
    </row>
    <row r="1284" spans="1:44" ht="12.75" customHeight="1">
      <c r="A1284" s="5">
        <v>39576</v>
      </c>
      <c r="B1284" s="2" t="s">
        <v>152</v>
      </c>
      <c r="C1284" s="2" t="s">
        <v>305</v>
      </c>
      <c r="E1284" s="18">
        <v>0</v>
      </c>
      <c r="F1284" s="18">
        <v>0</v>
      </c>
      <c r="G1284" s="18">
        <v>2</v>
      </c>
      <c r="H1284" s="18">
        <v>0</v>
      </c>
      <c r="I1284" s="18">
        <v>0</v>
      </c>
      <c r="J1284" s="18">
        <v>0</v>
      </c>
      <c r="K1284" s="18">
        <v>0</v>
      </c>
      <c r="T1284" s="3">
        <f t="shared" si="18"/>
        <v>2</v>
      </c>
      <c r="U1284" s="3">
        <v>2</v>
      </c>
      <c r="V1284" s="3">
        <v>4</v>
      </c>
      <c r="X1284" s="10" t="s">
        <v>468</v>
      </c>
      <c r="Y1284" s="18">
        <v>0</v>
      </c>
      <c r="Z1284" s="18">
        <v>1</v>
      </c>
      <c r="AA1284" s="18">
        <v>0</v>
      </c>
      <c r="AB1284" s="18">
        <v>0</v>
      </c>
      <c r="AC1284" s="18">
        <v>6</v>
      </c>
      <c r="AD1284" s="18">
        <v>0</v>
      </c>
      <c r="AE1284" s="18" t="s">
        <v>162</v>
      </c>
      <c r="AN1284" s="3">
        <f t="shared" si="19"/>
        <v>7</v>
      </c>
      <c r="AO1284" s="3">
        <v>7</v>
      </c>
      <c r="AP1284" s="3">
        <v>0</v>
      </c>
      <c r="AR1284" s="2" t="s">
        <v>1663</v>
      </c>
    </row>
    <row r="1285" spans="1:44" ht="12.75" customHeight="1">
      <c r="A1285" s="5">
        <v>39581</v>
      </c>
      <c r="C1285" s="2" t="s">
        <v>191</v>
      </c>
      <c r="E1285" s="18">
        <v>0</v>
      </c>
      <c r="F1285" s="18">
        <v>0</v>
      </c>
      <c r="G1285" s="18">
        <v>3</v>
      </c>
      <c r="H1285" s="18">
        <v>2</v>
      </c>
      <c r="I1285" s="18">
        <v>3</v>
      </c>
      <c r="J1285" s="18">
        <v>0</v>
      </c>
      <c r="K1285" s="18">
        <v>0</v>
      </c>
      <c r="T1285" s="3">
        <f t="shared" si="18"/>
        <v>8</v>
      </c>
      <c r="U1285" s="3">
        <v>11</v>
      </c>
      <c r="V1285" s="3">
        <v>4</v>
      </c>
      <c r="X1285" s="2" t="s">
        <v>1382</v>
      </c>
      <c r="Y1285" s="18">
        <v>1</v>
      </c>
      <c r="Z1285" s="18">
        <v>3</v>
      </c>
      <c r="AA1285" s="18">
        <v>0</v>
      </c>
      <c r="AB1285" s="18">
        <v>4</v>
      </c>
      <c r="AC1285" s="18">
        <v>0</v>
      </c>
      <c r="AD1285" s="18">
        <v>2</v>
      </c>
      <c r="AE1285" s="18">
        <v>6</v>
      </c>
      <c r="AN1285" s="3">
        <f t="shared" si="19"/>
        <v>16</v>
      </c>
      <c r="AO1285" s="3">
        <v>16</v>
      </c>
      <c r="AP1285" s="3">
        <v>1</v>
      </c>
      <c r="AR1285" s="2" t="s">
        <v>1381</v>
      </c>
    </row>
    <row r="1286" spans="1:44" ht="12.75" customHeight="1">
      <c r="A1286" s="5">
        <v>39583</v>
      </c>
      <c r="C1286" s="2" t="s">
        <v>168</v>
      </c>
      <c r="E1286" s="18">
        <v>0</v>
      </c>
      <c r="F1286" s="18">
        <v>0</v>
      </c>
      <c r="G1286" s="18">
        <v>5</v>
      </c>
      <c r="H1286" s="18">
        <v>0</v>
      </c>
      <c r="I1286" s="18">
        <v>0</v>
      </c>
      <c r="J1286" s="18">
        <v>0</v>
      </c>
      <c r="K1286" s="18" t="s">
        <v>162</v>
      </c>
      <c r="T1286" s="3">
        <f t="shared" si="18"/>
        <v>5</v>
      </c>
      <c r="U1286" s="3">
        <v>3</v>
      </c>
      <c r="V1286" s="3">
        <v>6</v>
      </c>
      <c r="X1286" s="2" t="s">
        <v>477</v>
      </c>
      <c r="Y1286" s="18">
        <v>0</v>
      </c>
      <c r="Z1286" s="18">
        <v>0</v>
      </c>
      <c r="AA1286" s="18">
        <v>1</v>
      </c>
      <c r="AB1286" s="18">
        <v>2</v>
      </c>
      <c r="AC1286" s="18">
        <v>1</v>
      </c>
      <c r="AD1286" s="18">
        <v>0</v>
      </c>
      <c r="AE1286" s="18">
        <v>0</v>
      </c>
      <c r="AN1286" s="3">
        <f t="shared" si="19"/>
        <v>4</v>
      </c>
      <c r="AO1286" s="3">
        <v>6</v>
      </c>
      <c r="AP1286" s="3">
        <v>2</v>
      </c>
      <c r="AR1286" s="2" t="s">
        <v>1380</v>
      </c>
    </row>
    <row r="1287" spans="1:44" ht="12.75" customHeight="1">
      <c r="A1287" s="5">
        <v>39591</v>
      </c>
      <c r="B1287" s="2" t="s">
        <v>152</v>
      </c>
      <c r="C1287" s="2" t="s">
        <v>367</v>
      </c>
      <c r="D1287" s="2" t="s">
        <v>258</v>
      </c>
      <c r="E1287" s="18">
        <v>0</v>
      </c>
      <c r="F1287" s="18">
        <v>1</v>
      </c>
      <c r="G1287" s="18">
        <v>0</v>
      </c>
      <c r="H1287" s="18">
        <v>0</v>
      </c>
      <c r="I1287" s="18">
        <v>1</v>
      </c>
      <c r="J1287" s="18">
        <v>0</v>
      </c>
      <c r="K1287" s="18">
        <v>0</v>
      </c>
      <c r="T1287" s="3">
        <f t="shared" si="18"/>
        <v>2</v>
      </c>
      <c r="U1287" s="3">
        <v>5</v>
      </c>
      <c r="V1287" s="3">
        <v>4</v>
      </c>
      <c r="X1287" s="2" t="s">
        <v>468</v>
      </c>
      <c r="Y1287" s="18">
        <v>0</v>
      </c>
      <c r="Z1287" s="18">
        <v>3</v>
      </c>
      <c r="AA1287" s="18">
        <v>0</v>
      </c>
      <c r="AB1287" s="18">
        <v>0</v>
      </c>
      <c r="AC1287" s="18">
        <v>3</v>
      </c>
      <c r="AD1287" s="18">
        <v>0</v>
      </c>
      <c r="AE1287" s="18" t="s">
        <v>162</v>
      </c>
      <c r="AN1287" s="3">
        <f t="shared" si="19"/>
        <v>6</v>
      </c>
      <c r="AO1287" s="3">
        <v>9</v>
      </c>
      <c r="AP1287" s="3">
        <v>3</v>
      </c>
      <c r="AR1287" s="2" t="s">
        <v>1093</v>
      </c>
    </row>
    <row r="1288" ht="12.75" customHeight="1"/>
    <row r="1289" spans="1:45" ht="12.75" customHeight="1">
      <c r="A1289" s="5">
        <v>39892</v>
      </c>
      <c r="B1289" s="2" t="s">
        <v>152</v>
      </c>
      <c r="C1289" s="2" t="s">
        <v>932</v>
      </c>
      <c r="E1289" s="18">
        <v>0</v>
      </c>
      <c r="F1289" s="18">
        <v>1</v>
      </c>
      <c r="G1289" s="18">
        <v>1</v>
      </c>
      <c r="H1289" s="18">
        <v>0</v>
      </c>
      <c r="I1289" s="18">
        <v>4</v>
      </c>
      <c r="J1289" s="18">
        <v>2</v>
      </c>
      <c r="K1289" s="18">
        <v>0</v>
      </c>
      <c r="T1289" s="3">
        <f aca="true" t="shared" si="20" ref="T1289:T1307">SUM(E1289:S1289)</f>
        <v>8</v>
      </c>
      <c r="U1289" s="3">
        <v>9</v>
      </c>
      <c r="V1289" s="3">
        <v>2</v>
      </c>
      <c r="X1289" s="2" t="s">
        <v>380</v>
      </c>
      <c r="Y1289" s="18">
        <v>0</v>
      </c>
      <c r="Z1289" s="18">
        <v>0</v>
      </c>
      <c r="AA1289" s="18">
        <v>0</v>
      </c>
      <c r="AB1289" s="18">
        <v>1</v>
      </c>
      <c r="AC1289" s="18">
        <v>1</v>
      </c>
      <c r="AD1289" s="18">
        <v>0</v>
      </c>
      <c r="AE1289" s="18">
        <v>0</v>
      </c>
      <c r="AN1289" s="3">
        <f aca="true" t="shared" si="21" ref="AN1289:AN1307">SUM(Y1289:AM1289)</f>
        <v>2</v>
      </c>
      <c r="AO1289" s="3">
        <v>6</v>
      </c>
      <c r="AP1289" s="3">
        <v>2</v>
      </c>
      <c r="AR1289" s="2" t="s">
        <v>499</v>
      </c>
      <c r="AS1289" s="2" t="s">
        <v>1848</v>
      </c>
    </row>
    <row r="1290" spans="1:46" ht="12.75" customHeight="1">
      <c r="A1290" s="5">
        <v>39896</v>
      </c>
      <c r="B1290" s="2" t="s">
        <v>152</v>
      </c>
      <c r="C1290" s="2" t="s">
        <v>175</v>
      </c>
      <c r="E1290" s="18">
        <v>0</v>
      </c>
      <c r="F1290" s="18">
        <v>1</v>
      </c>
      <c r="G1290" s="18">
        <v>0</v>
      </c>
      <c r="H1290" s="18">
        <v>1</v>
      </c>
      <c r="I1290" s="18">
        <v>0</v>
      </c>
      <c r="J1290" s="18">
        <v>2</v>
      </c>
      <c r="K1290" s="18">
        <v>0</v>
      </c>
      <c r="T1290" s="3">
        <f t="shared" si="20"/>
        <v>4</v>
      </c>
      <c r="U1290" s="3">
        <v>8</v>
      </c>
      <c r="V1290" s="3">
        <v>3</v>
      </c>
      <c r="X1290" s="2" t="s">
        <v>442</v>
      </c>
      <c r="Y1290" s="18">
        <v>0</v>
      </c>
      <c r="Z1290" s="18">
        <v>2</v>
      </c>
      <c r="AA1290" s="18">
        <v>0</v>
      </c>
      <c r="AB1290" s="18">
        <v>5</v>
      </c>
      <c r="AC1290" s="18">
        <v>2</v>
      </c>
      <c r="AD1290" s="18">
        <v>1</v>
      </c>
      <c r="AE1290" s="18" t="s">
        <v>162</v>
      </c>
      <c r="AN1290" s="3">
        <f t="shared" si="21"/>
        <v>10</v>
      </c>
      <c r="AO1290" s="3">
        <v>11</v>
      </c>
      <c r="AP1290" s="3">
        <v>2</v>
      </c>
      <c r="AR1290" s="2" t="s">
        <v>498</v>
      </c>
      <c r="AS1290" s="2" t="s">
        <v>2326</v>
      </c>
      <c r="AT1290" s="2">
        <v>9</v>
      </c>
    </row>
    <row r="1291" spans="1:44" ht="12.75" customHeight="1">
      <c r="A1291" s="5">
        <v>39903</v>
      </c>
      <c r="B1291" s="2" t="s">
        <v>152</v>
      </c>
      <c r="C1291" s="2" t="s">
        <v>191</v>
      </c>
      <c r="E1291" s="18">
        <v>0</v>
      </c>
      <c r="F1291" s="18">
        <v>0</v>
      </c>
      <c r="G1291" s="18">
        <v>0</v>
      </c>
      <c r="H1291" s="18">
        <v>0</v>
      </c>
      <c r="I1291" s="18">
        <v>0</v>
      </c>
      <c r="J1291" s="18">
        <v>1</v>
      </c>
      <c r="K1291" s="18">
        <v>0</v>
      </c>
      <c r="T1291" s="3">
        <f t="shared" si="20"/>
        <v>1</v>
      </c>
      <c r="U1291" s="3">
        <v>6</v>
      </c>
      <c r="V1291" s="3">
        <v>2</v>
      </c>
      <c r="X1291" s="2" t="s">
        <v>380</v>
      </c>
      <c r="Y1291" s="18">
        <v>0</v>
      </c>
      <c r="Z1291" s="18">
        <v>3</v>
      </c>
      <c r="AA1291" s="18">
        <v>0</v>
      </c>
      <c r="AB1291" s="18">
        <v>1</v>
      </c>
      <c r="AC1291" s="18">
        <v>1</v>
      </c>
      <c r="AD1291" s="18">
        <v>3</v>
      </c>
      <c r="AE1291" s="18" t="s">
        <v>162</v>
      </c>
      <c r="AN1291" s="3">
        <f t="shared" si="21"/>
        <v>8</v>
      </c>
      <c r="AO1291" s="3">
        <v>10</v>
      </c>
      <c r="AP1291" s="3">
        <v>1</v>
      </c>
      <c r="AR1291" s="2" t="s">
        <v>1758</v>
      </c>
    </row>
    <row r="1292" spans="1:44" ht="12.75" customHeight="1">
      <c r="A1292" s="5">
        <v>39916</v>
      </c>
      <c r="B1292" s="2" t="s">
        <v>152</v>
      </c>
      <c r="C1292" s="2" t="s">
        <v>168</v>
      </c>
      <c r="E1292" s="18">
        <v>0</v>
      </c>
      <c r="F1292" s="18">
        <v>1</v>
      </c>
      <c r="G1292" s="18">
        <v>0</v>
      </c>
      <c r="H1292" s="18">
        <v>3</v>
      </c>
      <c r="I1292" s="18">
        <v>0</v>
      </c>
      <c r="J1292" s="18">
        <v>1</v>
      </c>
      <c r="K1292" s="18">
        <v>2</v>
      </c>
      <c r="T1292" s="3">
        <f t="shared" si="20"/>
        <v>7</v>
      </c>
      <c r="U1292" s="3">
        <v>10</v>
      </c>
      <c r="V1292" s="3">
        <v>1</v>
      </c>
      <c r="X1292" s="2" t="s">
        <v>128</v>
      </c>
      <c r="Y1292" s="18">
        <v>0</v>
      </c>
      <c r="Z1292" s="18">
        <v>0</v>
      </c>
      <c r="AA1292" s="18">
        <v>3</v>
      </c>
      <c r="AB1292" s="18">
        <v>0</v>
      </c>
      <c r="AC1292" s="18">
        <v>0</v>
      </c>
      <c r="AD1292" s="18">
        <v>4</v>
      </c>
      <c r="AE1292" s="18">
        <v>1</v>
      </c>
      <c r="AN1292" s="3">
        <f t="shared" si="21"/>
        <v>8</v>
      </c>
      <c r="AO1292" s="3">
        <v>12</v>
      </c>
      <c r="AP1292" s="3">
        <v>0</v>
      </c>
      <c r="AR1292" s="2" t="s">
        <v>129</v>
      </c>
    </row>
    <row r="1293" spans="1:44" ht="12.75" customHeight="1">
      <c r="A1293" s="5">
        <v>39919</v>
      </c>
      <c r="B1293" s="2" t="s">
        <v>152</v>
      </c>
      <c r="C1293" s="2" t="s">
        <v>183</v>
      </c>
      <c r="E1293" s="18">
        <v>0</v>
      </c>
      <c r="F1293" s="18">
        <v>0</v>
      </c>
      <c r="G1293" s="18">
        <v>2</v>
      </c>
      <c r="H1293" s="18">
        <v>0</v>
      </c>
      <c r="I1293" s="18">
        <v>0</v>
      </c>
      <c r="J1293" s="18">
        <v>0</v>
      </c>
      <c r="K1293" s="18">
        <v>2</v>
      </c>
      <c r="L1293" s="18">
        <v>0</v>
      </c>
      <c r="M1293" s="18">
        <v>0</v>
      </c>
      <c r="T1293" s="3">
        <f t="shared" si="20"/>
        <v>4</v>
      </c>
      <c r="U1293" s="3">
        <v>7</v>
      </c>
      <c r="V1293" s="3">
        <v>3</v>
      </c>
      <c r="X1293" s="2" t="s">
        <v>130</v>
      </c>
      <c r="Y1293" s="18">
        <v>1</v>
      </c>
      <c r="Z1293" s="18">
        <v>0</v>
      </c>
      <c r="AA1293" s="18">
        <v>1</v>
      </c>
      <c r="AB1293" s="18">
        <v>1</v>
      </c>
      <c r="AC1293" s="18">
        <v>0</v>
      </c>
      <c r="AD1293" s="18">
        <v>1</v>
      </c>
      <c r="AE1293" s="18">
        <v>0</v>
      </c>
      <c r="AF1293" s="18">
        <v>0</v>
      </c>
      <c r="AG1293" s="18">
        <v>1</v>
      </c>
      <c r="AN1293" s="3">
        <f t="shared" si="21"/>
        <v>5</v>
      </c>
      <c r="AO1293" s="3">
        <v>5</v>
      </c>
      <c r="AP1293" s="3">
        <v>0</v>
      </c>
      <c r="AR1293" s="2" t="s">
        <v>131</v>
      </c>
    </row>
    <row r="1294" spans="1:44" ht="12.75" customHeight="1">
      <c r="A1294" s="5">
        <v>39921</v>
      </c>
      <c r="B1294" s="2" t="s">
        <v>152</v>
      </c>
      <c r="C1294" s="2" t="s">
        <v>1742</v>
      </c>
      <c r="E1294" s="18">
        <v>0</v>
      </c>
      <c r="F1294" s="18">
        <v>0</v>
      </c>
      <c r="G1294" s="18">
        <v>0</v>
      </c>
      <c r="H1294" s="18">
        <v>1</v>
      </c>
      <c r="I1294" s="18">
        <v>4</v>
      </c>
      <c r="J1294" s="18">
        <v>0</v>
      </c>
      <c r="K1294" s="18">
        <v>1</v>
      </c>
      <c r="T1294" s="3">
        <f t="shared" si="20"/>
        <v>6</v>
      </c>
      <c r="U1294" s="3">
        <v>12</v>
      </c>
      <c r="V1294" s="3">
        <v>3</v>
      </c>
      <c r="X1294" s="2" t="s">
        <v>477</v>
      </c>
      <c r="Y1294" s="18">
        <v>0</v>
      </c>
      <c r="Z1294" s="18">
        <v>0</v>
      </c>
      <c r="AA1294" s="18">
        <v>0</v>
      </c>
      <c r="AB1294" s="18">
        <v>0</v>
      </c>
      <c r="AC1294" s="18">
        <v>3</v>
      </c>
      <c r="AD1294" s="18">
        <v>0</v>
      </c>
      <c r="AE1294" s="18">
        <v>0</v>
      </c>
      <c r="AN1294" s="3">
        <f t="shared" si="21"/>
        <v>3</v>
      </c>
      <c r="AO1294" s="3">
        <v>3</v>
      </c>
      <c r="AP1294" s="3">
        <v>4</v>
      </c>
      <c r="AR1294" s="2" t="s">
        <v>127</v>
      </c>
    </row>
    <row r="1295" spans="1:44" ht="12.75" customHeight="1">
      <c r="A1295" s="5">
        <v>39927</v>
      </c>
      <c r="B1295" s="2" t="s">
        <v>239</v>
      </c>
      <c r="C1295" s="2" t="s">
        <v>290</v>
      </c>
      <c r="D1295" s="2" t="s">
        <v>1743</v>
      </c>
      <c r="E1295" s="18">
        <v>1</v>
      </c>
      <c r="F1295" s="18">
        <v>0</v>
      </c>
      <c r="G1295" s="18">
        <v>1</v>
      </c>
      <c r="H1295" s="18">
        <v>0</v>
      </c>
      <c r="I1295" s="18">
        <v>0</v>
      </c>
      <c r="J1295" s="18">
        <v>0</v>
      </c>
      <c r="K1295" s="18">
        <v>0</v>
      </c>
      <c r="T1295" s="3">
        <f t="shared" si="20"/>
        <v>2</v>
      </c>
      <c r="U1295" s="3">
        <v>6</v>
      </c>
      <c r="V1295" s="3">
        <v>6</v>
      </c>
      <c r="X1295" s="2" t="s">
        <v>1759</v>
      </c>
      <c r="Y1295" s="18">
        <v>0</v>
      </c>
      <c r="Z1295" s="18">
        <v>1</v>
      </c>
      <c r="AA1295" s="18">
        <v>0</v>
      </c>
      <c r="AB1295" s="18">
        <v>2</v>
      </c>
      <c r="AC1295" s="18">
        <v>0</v>
      </c>
      <c r="AD1295" s="18">
        <v>7</v>
      </c>
      <c r="AE1295" s="18" t="s">
        <v>162</v>
      </c>
      <c r="AN1295" s="3">
        <f t="shared" si="21"/>
        <v>10</v>
      </c>
      <c r="AO1295" s="3">
        <v>12</v>
      </c>
      <c r="AP1295" s="3">
        <v>2</v>
      </c>
      <c r="AR1295" s="2" t="s">
        <v>1760</v>
      </c>
    </row>
    <row r="1296" spans="1:44" ht="12.75" customHeight="1">
      <c r="A1296" s="5">
        <v>39928</v>
      </c>
      <c r="B1296" s="2" t="s">
        <v>239</v>
      </c>
      <c r="C1296" s="2" t="s">
        <v>1779</v>
      </c>
      <c r="D1296" s="2" t="s">
        <v>1743</v>
      </c>
      <c r="E1296" s="18">
        <v>0</v>
      </c>
      <c r="F1296" s="18">
        <v>5</v>
      </c>
      <c r="G1296" s="18">
        <v>1</v>
      </c>
      <c r="H1296" s="18">
        <v>4</v>
      </c>
      <c r="I1296" s="18">
        <v>1</v>
      </c>
      <c r="T1296" s="3">
        <f t="shared" si="20"/>
        <v>11</v>
      </c>
      <c r="U1296" s="3">
        <v>9</v>
      </c>
      <c r="V1296" s="3">
        <v>1</v>
      </c>
      <c r="X1296" s="2" t="s">
        <v>1762</v>
      </c>
      <c r="Y1296" s="18">
        <v>0</v>
      </c>
      <c r="Z1296" s="18">
        <v>0</v>
      </c>
      <c r="AA1296" s="18">
        <v>0</v>
      </c>
      <c r="AB1296" s="18">
        <v>0</v>
      </c>
      <c r="AC1296" s="18">
        <v>1</v>
      </c>
      <c r="AN1296" s="3">
        <f t="shared" si="21"/>
        <v>1</v>
      </c>
      <c r="AO1296" s="3">
        <v>1</v>
      </c>
      <c r="AP1296" s="3">
        <v>5</v>
      </c>
      <c r="AR1296" s="2" t="s">
        <v>1761</v>
      </c>
    </row>
    <row r="1297" spans="1:44" ht="12.75" customHeight="1">
      <c r="A1297" s="5">
        <v>39930</v>
      </c>
      <c r="C1297" s="2" t="s">
        <v>191</v>
      </c>
      <c r="E1297" s="18">
        <v>0</v>
      </c>
      <c r="F1297" s="18">
        <v>6</v>
      </c>
      <c r="G1297" s="18">
        <v>0</v>
      </c>
      <c r="H1297" s="18">
        <v>5</v>
      </c>
      <c r="I1297" s="18">
        <v>2</v>
      </c>
      <c r="J1297" s="18">
        <v>1</v>
      </c>
      <c r="K1297" s="18" t="s">
        <v>162</v>
      </c>
      <c r="T1297" s="3">
        <f t="shared" si="20"/>
        <v>14</v>
      </c>
      <c r="U1297" s="3">
        <v>13</v>
      </c>
      <c r="V1297" s="3">
        <v>1</v>
      </c>
      <c r="X1297" s="2" t="s">
        <v>1777</v>
      </c>
      <c r="Y1297" s="18">
        <v>0</v>
      </c>
      <c r="Z1297" s="18">
        <v>3</v>
      </c>
      <c r="AA1297" s="18">
        <v>1</v>
      </c>
      <c r="AB1297" s="18">
        <v>0</v>
      </c>
      <c r="AC1297" s="18">
        <v>3</v>
      </c>
      <c r="AD1297" s="18">
        <v>0</v>
      </c>
      <c r="AE1297" s="18">
        <v>0</v>
      </c>
      <c r="AN1297" s="3">
        <f t="shared" si="21"/>
        <v>7</v>
      </c>
      <c r="AO1297" s="3">
        <v>7</v>
      </c>
      <c r="AP1297" s="3">
        <v>3</v>
      </c>
      <c r="AR1297" s="2" t="s">
        <v>1778</v>
      </c>
    </row>
    <row r="1298" spans="1:44" ht="12.75" customHeight="1">
      <c r="A1298" s="5">
        <v>39932</v>
      </c>
      <c r="B1298" s="2" t="s">
        <v>152</v>
      </c>
      <c r="C1298" s="2" t="s">
        <v>138</v>
      </c>
      <c r="E1298" s="18">
        <v>0</v>
      </c>
      <c r="F1298" s="18">
        <v>4</v>
      </c>
      <c r="G1298" s="18">
        <v>2</v>
      </c>
      <c r="H1298" s="18">
        <v>5</v>
      </c>
      <c r="I1298" s="18">
        <v>2</v>
      </c>
      <c r="J1298" s="18">
        <v>0</v>
      </c>
      <c r="K1298" s="18">
        <v>1</v>
      </c>
      <c r="T1298" s="3">
        <f t="shared" si="20"/>
        <v>14</v>
      </c>
      <c r="U1298" s="3">
        <v>11</v>
      </c>
      <c r="V1298" s="3">
        <v>2</v>
      </c>
      <c r="X1298" s="2" t="s">
        <v>1775</v>
      </c>
      <c r="Y1298" s="18">
        <v>4</v>
      </c>
      <c r="Z1298" s="18">
        <v>2</v>
      </c>
      <c r="AA1298" s="18">
        <v>0</v>
      </c>
      <c r="AB1298" s="18">
        <v>0</v>
      </c>
      <c r="AC1298" s="18">
        <v>6</v>
      </c>
      <c r="AD1298" s="18">
        <v>1</v>
      </c>
      <c r="AE1298" s="18">
        <v>0</v>
      </c>
      <c r="AN1298" s="3">
        <f t="shared" si="21"/>
        <v>13</v>
      </c>
      <c r="AO1298" s="3">
        <v>13</v>
      </c>
      <c r="AP1298" s="3">
        <v>5</v>
      </c>
      <c r="AR1298" s="2" t="s">
        <v>1776</v>
      </c>
    </row>
    <row r="1299" spans="1:44" ht="12.75" customHeight="1">
      <c r="A1299" s="5">
        <v>39938</v>
      </c>
      <c r="C1299" s="2" t="s">
        <v>192</v>
      </c>
      <c r="E1299" s="18">
        <v>0</v>
      </c>
      <c r="F1299" s="18">
        <v>2</v>
      </c>
      <c r="G1299" s="18">
        <v>0</v>
      </c>
      <c r="H1299" s="18">
        <v>0</v>
      </c>
      <c r="I1299" s="18">
        <v>1</v>
      </c>
      <c r="J1299" s="18">
        <v>0</v>
      </c>
      <c r="K1299" s="18" t="s">
        <v>162</v>
      </c>
      <c r="T1299" s="3">
        <f t="shared" si="20"/>
        <v>3</v>
      </c>
      <c r="U1299" s="3">
        <v>5</v>
      </c>
      <c r="V1299" s="3">
        <v>0</v>
      </c>
      <c r="X1299" s="2" t="s">
        <v>1763</v>
      </c>
      <c r="Y1299" s="18"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N1299" s="3">
        <f t="shared" si="21"/>
        <v>0</v>
      </c>
      <c r="AO1299" s="3">
        <v>3</v>
      </c>
      <c r="AP1299" s="3">
        <v>1</v>
      </c>
      <c r="AR1299" s="2" t="s">
        <v>1764</v>
      </c>
    </row>
    <row r="1300" spans="1:44" ht="12.75" customHeight="1">
      <c r="A1300" s="5">
        <v>39939</v>
      </c>
      <c r="B1300" s="2" t="s">
        <v>152</v>
      </c>
      <c r="C1300" s="2" t="s">
        <v>367</v>
      </c>
      <c r="E1300" s="18">
        <v>0</v>
      </c>
      <c r="F1300" s="18">
        <v>0</v>
      </c>
      <c r="G1300" s="18">
        <v>2</v>
      </c>
      <c r="H1300" s="18">
        <v>0</v>
      </c>
      <c r="I1300" s="18">
        <v>3</v>
      </c>
      <c r="J1300" s="18">
        <v>0</v>
      </c>
      <c r="K1300" s="18">
        <v>0</v>
      </c>
      <c r="T1300" s="3">
        <f t="shared" si="20"/>
        <v>5</v>
      </c>
      <c r="U1300" s="3">
        <v>6</v>
      </c>
      <c r="V1300" s="3">
        <v>0</v>
      </c>
      <c r="X1300" s="2" t="s">
        <v>1474</v>
      </c>
      <c r="Y1300" s="18">
        <v>1</v>
      </c>
      <c r="Z1300" s="18">
        <v>0</v>
      </c>
      <c r="AA1300" s="18">
        <v>0</v>
      </c>
      <c r="AB1300" s="18">
        <v>2</v>
      </c>
      <c r="AC1300" s="18">
        <v>0</v>
      </c>
      <c r="AD1300" s="18">
        <v>0</v>
      </c>
      <c r="AE1300" s="18">
        <v>0</v>
      </c>
      <c r="AN1300" s="3">
        <f t="shared" si="21"/>
        <v>3</v>
      </c>
      <c r="AO1300" s="3">
        <v>7</v>
      </c>
      <c r="AP1300" s="3">
        <v>2</v>
      </c>
      <c r="AR1300" s="2" t="s">
        <v>2388</v>
      </c>
    </row>
    <row r="1301" spans="1:44" ht="12.75" customHeight="1">
      <c r="A1301" s="5">
        <v>39940</v>
      </c>
      <c r="C1301" s="2" t="s">
        <v>183</v>
      </c>
      <c r="E1301" s="18">
        <v>0</v>
      </c>
      <c r="F1301" s="18">
        <v>6</v>
      </c>
      <c r="G1301" s="18">
        <v>0</v>
      </c>
      <c r="H1301" s="18">
        <v>8</v>
      </c>
      <c r="I1301" s="18">
        <v>0</v>
      </c>
      <c r="J1301" s="18">
        <v>0</v>
      </c>
      <c r="K1301" s="18" t="s">
        <v>162</v>
      </c>
      <c r="T1301" s="3">
        <f t="shared" si="20"/>
        <v>14</v>
      </c>
      <c r="U1301" s="3">
        <v>14</v>
      </c>
      <c r="V1301" s="3">
        <v>1</v>
      </c>
      <c r="X1301" s="2" t="s">
        <v>1472</v>
      </c>
      <c r="Y1301" s="18">
        <v>1</v>
      </c>
      <c r="Z1301" s="18">
        <v>0</v>
      </c>
      <c r="AA1301" s="18">
        <v>4</v>
      </c>
      <c r="AB1301" s="18">
        <v>1</v>
      </c>
      <c r="AC1301" s="18">
        <v>0</v>
      </c>
      <c r="AD1301" s="18">
        <v>3</v>
      </c>
      <c r="AE1301" s="18">
        <v>0</v>
      </c>
      <c r="AN1301" s="3">
        <f t="shared" si="21"/>
        <v>9</v>
      </c>
      <c r="AO1301" s="3">
        <v>8</v>
      </c>
      <c r="AP1301" s="3">
        <v>2</v>
      </c>
      <c r="AR1301" s="2" t="s">
        <v>1473</v>
      </c>
    </row>
    <row r="1302" spans="1:44" ht="12.75" customHeight="1">
      <c r="A1302" s="5">
        <v>39944</v>
      </c>
      <c r="C1302" s="2" t="s">
        <v>138</v>
      </c>
      <c r="E1302" s="18">
        <v>1</v>
      </c>
      <c r="F1302" s="18">
        <v>0</v>
      </c>
      <c r="G1302" s="18">
        <v>3</v>
      </c>
      <c r="H1302" s="18">
        <v>1</v>
      </c>
      <c r="I1302" s="18">
        <v>2</v>
      </c>
      <c r="J1302" s="18">
        <v>3</v>
      </c>
      <c r="K1302" s="18" t="s">
        <v>162</v>
      </c>
      <c r="T1302" s="3">
        <f t="shared" si="20"/>
        <v>10</v>
      </c>
      <c r="U1302" s="3">
        <v>12</v>
      </c>
      <c r="V1302" s="3">
        <v>3</v>
      </c>
      <c r="X1302" s="2" t="s">
        <v>1170</v>
      </c>
      <c r="Y1302" s="18">
        <v>0</v>
      </c>
      <c r="Z1302" s="18">
        <v>0</v>
      </c>
      <c r="AA1302" s="18">
        <v>1</v>
      </c>
      <c r="AB1302" s="18">
        <v>0</v>
      </c>
      <c r="AC1302" s="18">
        <v>0</v>
      </c>
      <c r="AD1302" s="18">
        <v>3</v>
      </c>
      <c r="AE1302" s="18">
        <v>0</v>
      </c>
      <c r="AN1302" s="3">
        <f t="shared" si="21"/>
        <v>4</v>
      </c>
      <c r="AO1302" s="3">
        <v>7</v>
      </c>
      <c r="AP1302" s="3">
        <v>2</v>
      </c>
      <c r="AR1302" s="2" t="s">
        <v>1171</v>
      </c>
    </row>
    <row r="1303" spans="1:44" ht="12.75" customHeight="1">
      <c r="A1303" s="5">
        <v>39945</v>
      </c>
      <c r="B1303" s="2" t="s">
        <v>152</v>
      </c>
      <c r="C1303" s="2" t="s">
        <v>254</v>
      </c>
      <c r="E1303" s="18">
        <v>2</v>
      </c>
      <c r="F1303" s="18">
        <v>1</v>
      </c>
      <c r="G1303" s="18">
        <v>0</v>
      </c>
      <c r="H1303" s="18">
        <v>2</v>
      </c>
      <c r="I1303" s="18">
        <v>0</v>
      </c>
      <c r="J1303" s="18">
        <v>0</v>
      </c>
      <c r="K1303" s="18">
        <v>0</v>
      </c>
      <c r="T1303" s="3">
        <f t="shared" si="20"/>
        <v>5</v>
      </c>
      <c r="U1303" s="3">
        <v>9</v>
      </c>
      <c r="V1303" s="3">
        <v>4</v>
      </c>
      <c r="X1303" s="2" t="s">
        <v>1168</v>
      </c>
      <c r="Y1303" s="18">
        <v>1</v>
      </c>
      <c r="Z1303" s="18">
        <v>1</v>
      </c>
      <c r="AA1303" s="18">
        <v>4</v>
      </c>
      <c r="AB1303" s="18">
        <v>0</v>
      </c>
      <c r="AC1303" s="18">
        <v>0</v>
      </c>
      <c r="AD1303" s="18">
        <v>7</v>
      </c>
      <c r="AE1303" s="18" t="s">
        <v>162</v>
      </c>
      <c r="AN1303" s="3">
        <f t="shared" si="21"/>
        <v>13</v>
      </c>
      <c r="AO1303" s="3">
        <v>13</v>
      </c>
      <c r="AP1303" s="3">
        <v>1</v>
      </c>
      <c r="AR1303" s="2" t="s">
        <v>1169</v>
      </c>
    </row>
    <row r="1304" spans="1:44" ht="12.75" customHeight="1">
      <c r="A1304" s="5">
        <v>39946</v>
      </c>
      <c r="B1304" s="2" t="s">
        <v>152</v>
      </c>
      <c r="C1304" s="2" t="s">
        <v>192</v>
      </c>
      <c r="E1304" s="18">
        <v>1</v>
      </c>
      <c r="F1304" s="18">
        <v>2</v>
      </c>
      <c r="G1304" s="18">
        <v>0</v>
      </c>
      <c r="H1304" s="18">
        <v>5</v>
      </c>
      <c r="I1304" s="18">
        <v>1</v>
      </c>
      <c r="J1304" s="18">
        <v>0</v>
      </c>
      <c r="K1304" s="18">
        <v>2</v>
      </c>
      <c r="T1304" s="3">
        <f t="shared" si="20"/>
        <v>11</v>
      </c>
      <c r="U1304" s="3">
        <v>13</v>
      </c>
      <c r="V1304" s="3">
        <v>0</v>
      </c>
      <c r="X1304" s="2" t="s">
        <v>863</v>
      </c>
      <c r="Y1304" s="18">
        <v>0</v>
      </c>
      <c r="Z1304" s="18">
        <v>0</v>
      </c>
      <c r="AA1304" s="18">
        <v>0</v>
      </c>
      <c r="AB1304" s="18">
        <v>1</v>
      </c>
      <c r="AC1304" s="18">
        <v>0</v>
      </c>
      <c r="AD1304" s="18">
        <v>0</v>
      </c>
      <c r="AE1304" s="18">
        <v>0</v>
      </c>
      <c r="AN1304" s="3">
        <f t="shared" si="21"/>
        <v>1</v>
      </c>
      <c r="AO1304" s="3">
        <v>3</v>
      </c>
      <c r="AP1304" s="3">
        <v>3</v>
      </c>
      <c r="AR1304" s="2" t="s">
        <v>864</v>
      </c>
    </row>
    <row r="1305" spans="1:44" ht="12.75" customHeight="1">
      <c r="A1305" s="5">
        <v>39947</v>
      </c>
      <c r="C1305" s="2" t="s">
        <v>367</v>
      </c>
      <c r="E1305" s="18">
        <v>0</v>
      </c>
      <c r="F1305" s="18">
        <v>2</v>
      </c>
      <c r="G1305" s="18">
        <v>2</v>
      </c>
      <c r="H1305" s="18">
        <v>0</v>
      </c>
      <c r="I1305" s="18">
        <v>0</v>
      </c>
      <c r="J1305" s="18">
        <v>0</v>
      </c>
      <c r="K1305" s="18">
        <v>0</v>
      </c>
      <c r="L1305" s="18">
        <v>0</v>
      </c>
      <c r="T1305" s="3">
        <f t="shared" si="20"/>
        <v>4</v>
      </c>
      <c r="U1305" s="3">
        <v>8</v>
      </c>
      <c r="V1305" s="3">
        <v>3</v>
      </c>
      <c r="X1305" s="2" t="s">
        <v>861</v>
      </c>
      <c r="Y1305" s="18">
        <v>1</v>
      </c>
      <c r="Z1305" s="18">
        <v>2</v>
      </c>
      <c r="AA1305" s="18">
        <v>1</v>
      </c>
      <c r="AB1305" s="18">
        <v>0</v>
      </c>
      <c r="AC1305" s="18">
        <v>0</v>
      </c>
      <c r="AD1305" s="18">
        <v>0</v>
      </c>
      <c r="AE1305" s="18">
        <v>0</v>
      </c>
      <c r="AF1305" s="18">
        <v>2</v>
      </c>
      <c r="AN1305" s="3">
        <f t="shared" si="21"/>
        <v>6</v>
      </c>
      <c r="AO1305" s="3">
        <v>10</v>
      </c>
      <c r="AP1305" s="3">
        <v>2</v>
      </c>
      <c r="AR1305" s="2" t="s">
        <v>862</v>
      </c>
    </row>
    <row r="1306" spans="1:44" ht="12.75" customHeight="1">
      <c r="A1306" s="5">
        <v>39948</v>
      </c>
      <c r="C1306" s="2" t="s">
        <v>168</v>
      </c>
      <c r="E1306" s="18">
        <v>2</v>
      </c>
      <c r="F1306" s="18">
        <v>0</v>
      </c>
      <c r="G1306" s="18">
        <v>1</v>
      </c>
      <c r="H1306" s="18">
        <v>0</v>
      </c>
      <c r="I1306" s="18">
        <v>0</v>
      </c>
      <c r="T1306" s="3">
        <f t="shared" si="20"/>
        <v>3</v>
      </c>
      <c r="U1306" s="3">
        <v>4</v>
      </c>
      <c r="V1306" s="3">
        <v>2</v>
      </c>
      <c r="X1306" s="2" t="s">
        <v>1472</v>
      </c>
      <c r="Y1306" s="18">
        <v>1</v>
      </c>
      <c r="Z1306" s="18">
        <v>1</v>
      </c>
      <c r="AA1306" s="18">
        <v>2</v>
      </c>
      <c r="AB1306" s="18">
        <v>2</v>
      </c>
      <c r="AC1306" s="18">
        <v>8</v>
      </c>
      <c r="AN1306" s="3">
        <f t="shared" si="21"/>
        <v>14</v>
      </c>
      <c r="AO1306" s="3">
        <v>17</v>
      </c>
      <c r="AP1306" s="3">
        <v>3</v>
      </c>
      <c r="AR1306" s="2" t="s">
        <v>860</v>
      </c>
    </row>
    <row r="1307" spans="1:44" ht="12.75" customHeight="1">
      <c r="A1307" s="5">
        <v>39953</v>
      </c>
      <c r="C1307" s="2" t="s">
        <v>367</v>
      </c>
      <c r="D1307" s="2" t="s">
        <v>258</v>
      </c>
      <c r="E1307" s="18">
        <v>2</v>
      </c>
      <c r="F1307" s="18">
        <v>1</v>
      </c>
      <c r="G1307" s="18">
        <v>0</v>
      </c>
      <c r="H1307" s="18">
        <v>0</v>
      </c>
      <c r="I1307" s="18">
        <v>1</v>
      </c>
      <c r="J1307" s="18">
        <v>0</v>
      </c>
      <c r="K1307" s="18">
        <v>0</v>
      </c>
      <c r="L1307" s="18">
        <v>1</v>
      </c>
      <c r="T1307" s="3">
        <f t="shared" si="20"/>
        <v>5</v>
      </c>
      <c r="U1307" s="3">
        <v>10</v>
      </c>
      <c r="V1307" s="3">
        <v>6</v>
      </c>
      <c r="X1307" s="2" t="s">
        <v>529</v>
      </c>
      <c r="Y1307" s="18">
        <v>1</v>
      </c>
      <c r="Z1307" s="18">
        <v>1</v>
      </c>
      <c r="AA1307" s="18">
        <v>0</v>
      </c>
      <c r="AB1307" s="18">
        <v>0</v>
      </c>
      <c r="AC1307" s="18">
        <v>0</v>
      </c>
      <c r="AD1307" s="18">
        <v>2</v>
      </c>
      <c r="AE1307" s="18">
        <v>0</v>
      </c>
      <c r="AF1307" s="18">
        <v>0</v>
      </c>
      <c r="AN1307" s="3">
        <f t="shared" si="21"/>
        <v>4</v>
      </c>
      <c r="AO1307" s="3">
        <v>3</v>
      </c>
      <c r="AP1307" s="3">
        <v>2</v>
      </c>
      <c r="AR1307" s="2" t="s">
        <v>530</v>
      </c>
    </row>
    <row r="1308" spans="1:44" ht="12.75" customHeight="1">
      <c r="A1308" s="5">
        <v>39960</v>
      </c>
      <c r="B1308" s="2" t="s">
        <v>239</v>
      </c>
      <c r="C1308" s="2" t="s">
        <v>183</v>
      </c>
      <c r="D1308" s="2" t="s">
        <v>258</v>
      </c>
      <c r="E1308" s="18">
        <v>1</v>
      </c>
      <c r="F1308" s="18">
        <v>0</v>
      </c>
      <c r="G1308" s="18">
        <v>1</v>
      </c>
      <c r="H1308" s="18">
        <v>0</v>
      </c>
      <c r="I1308" s="18">
        <v>1</v>
      </c>
      <c r="J1308" s="18">
        <v>0</v>
      </c>
      <c r="K1308" s="18">
        <v>2</v>
      </c>
      <c r="T1308" s="3">
        <f>SUM(E1308:S1308)</f>
        <v>5</v>
      </c>
      <c r="U1308" s="3">
        <v>9</v>
      </c>
      <c r="V1308" s="3">
        <v>3</v>
      </c>
      <c r="X1308" s="2" t="s">
        <v>147</v>
      </c>
      <c r="Y1308" s="18">
        <v>1</v>
      </c>
      <c r="Z1308" s="18">
        <v>0</v>
      </c>
      <c r="AA1308" s="18">
        <v>0</v>
      </c>
      <c r="AB1308" s="18">
        <v>4</v>
      </c>
      <c r="AC1308" s="18">
        <v>1</v>
      </c>
      <c r="AD1308" s="18">
        <v>3</v>
      </c>
      <c r="AE1308" s="18" t="s">
        <v>162</v>
      </c>
      <c r="AN1308" s="3">
        <f>SUM(Y1308:AM1308)</f>
        <v>9</v>
      </c>
      <c r="AO1308" s="3">
        <v>11</v>
      </c>
      <c r="AP1308" s="3">
        <v>3</v>
      </c>
      <c r="AR1308" s="2" t="s">
        <v>148</v>
      </c>
    </row>
    <row r="1309" ht="12.75" customHeight="1"/>
    <row r="1310" spans="1:45" ht="12.75" customHeight="1">
      <c r="A1310" s="5">
        <v>40264</v>
      </c>
      <c r="B1310" s="2" t="s">
        <v>152</v>
      </c>
      <c r="C1310" s="2" t="s">
        <v>2221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2</v>
      </c>
      <c r="T1310" s="3">
        <f aca="true" t="shared" si="22" ref="T1310:T1328">SUM(E1310:S1310)</f>
        <v>2</v>
      </c>
      <c r="U1310" s="3">
        <v>8</v>
      </c>
      <c r="V1310" s="3">
        <v>4</v>
      </c>
      <c r="X1310" s="2" t="s">
        <v>759</v>
      </c>
      <c r="Y1310" s="18">
        <v>0</v>
      </c>
      <c r="Z1310" s="18">
        <v>1</v>
      </c>
      <c r="AA1310" s="18">
        <v>1</v>
      </c>
      <c r="AB1310" s="18">
        <v>4</v>
      </c>
      <c r="AC1310" s="18">
        <v>0</v>
      </c>
      <c r="AD1310" s="18">
        <v>0</v>
      </c>
      <c r="AE1310" s="18" t="s">
        <v>162</v>
      </c>
      <c r="AN1310" s="3">
        <f aca="true" t="shared" si="23" ref="AN1310:AN1328">SUM(Y1310:AM1310)</f>
        <v>6</v>
      </c>
      <c r="AO1310" s="3">
        <v>5</v>
      </c>
      <c r="AP1310" s="3">
        <v>1</v>
      </c>
      <c r="AR1310" s="2" t="s">
        <v>758</v>
      </c>
      <c r="AS1310" s="2" t="s">
        <v>1848</v>
      </c>
    </row>
    <row r="1311" spans="1:46" ht="12.75" customHeight="1">
      <c r="A1311" s="5">
        <v>40269</v>
      </c>
      <c r="C1311" s="2" t="s">
        <v>175</v>
      </c>
      <c r="E1311" s="18">
        <v>2</v>
      </c>
      <c r="F1311" s="18">
        <v>0</v>
      </c>
      <c r="G1311" s="18">
        <v>1</v>
      </c>
      <c r="H1311" s="18">
        <v>1</v>
      </c>
      <c r="I1311" s="18">
        <v>0</v>
      </c>
      <c r="J1311" s="18">
        <v>0</v>
      </c>
      <c r="K1311" s="18">
        <v>1</v>
      </c>
      <c r="T1311" s="3">
        <f t="shared" si="22"/>
        <v>5</v>
      </c>
      <c r="U1311" s="3">
        <v>8</v>
      </c>
      <c r="V1311" s="3">
        <v>1</v>
      </c>
      <c r="X1311" s="2" t="s">
        <v>760</v>
      </c>
      <c r="Y1311" s="18">
        <v>0</v>
      </c>
      <c r="Z1311" s="18">
        <v>2</v>
      </c>
      <c r="AA1311" s="18">
        <v>1</v>
      </c>
      <c r="AB1311" s="18">
        <v>1</v>
      </c>
      <c r="AC1311" s="18">
        <v>0</v>
      </c>
      <c r="AD1311" s="18">
        <v>0</v>
      </c>
      <c r="AE1311" s="18">
        <v>0</v>
      </c>
      <c r="AN1311" s="3">
        <f t="shared" si="23"/>
        <v>4</v>
      </c>
      <c r="AO1311" s="3">
        <v>10</v>
      </c>
      <c r="AP1311" s="3">
        <v>0</v>
      </c>
      <c r="AR1311" s="2" t="s">
        <v>761</v>
      </c>
      <c r="AS1311" s="2" t="s">
        <v>326</v>
      </c>
      <c r="AT1311" s="2">
        <v>10</v>
      </c>
    </row>
    <row r="1312" spans="1:44" ht="12.75" customHeight="1">
      <c r="A1312" s="5">
        <v>40280</v>
      </c>
      <c r="C1312" s="2" t="s">
        <v>191</v>
      </c>
      <c r="E1312" s="18">
        <v>0</v>
      </c>
      <c r="F1312" s="18">
        <v>0</v>
      </c>
      <c r="G1312" s="18">
        <v>0</v>
      </c>
      <c r="H1312" s="18">
        <v>0</v>
      </c>
      <c r="I1312" s="18">
        <v>0</v>
      </c>
      <c r="J1312" s="18">
        <v>7</v>
      </c>
      <c r="K1312" s="18" t="s">
        <v>162</v>
      </c>
      <c r="T1312" s="3">
        <f t="shared" si="22"/>
        <v>7</v>
      </c>
      <c r="U1312" s="3">
        <v>9</v>
      </c>
      <c r="V1312" s="3">
        <v>1</v>
      </c>
      <c r="X1312" s="2" t="s">
        <v>763</v>
      </c>
      <c r="Y1312" s="18">
        <v>0</v>
      </c>
      <c r="Z1312" s="18">
        <v>0</v>
      </c>
      <c r="AA1312" s="18">
        <v>2</v>
      </c>
      <c r="AB1312" s="18">
        <v>0</v>
      </c>
      <c r="AC1312" s="18">
        <v>2</v>
      </c>
      <c r="AD1312" s="18">
        <v>2</v>
      </c>
      <c r="AE1312" s="18">
        <v>0</v>
      </c>
      <c r="AN1312" s="3">
        <f t="shared" si="23"/>
        <v>6</v>
      </c>
      <c r="AO1312" s="3">
        <v>9</v>
      </c>
      <c r="AP1312" s="3">
        <v>3</v>
      </c>
      <c r="AR1312" s="2" t="s">
        <v>762</v>
      </c>
    </row>
    <row r="1313" spans="1:44" ht="12.75" customHeight="1">
      <c r="A1313" s="5">
        <v>40282</v>
      </c>
      <c r="C1313" s="2" t="s">
        <v>183</v>
      </c>
      <c r="E1313" s="18">
        <v>0</v>
      </c>
      <c r="F1313" s="18">
        <v>4</v>
      </c>
      <c r="G1313" s="18">
        <v>0</v>
      </c>
      <c r="H1313" s="18">
        <v>3</v>
      </c>
      <c r="I1313" s="18">
        <v>0</v>
      </c>
      <c r="J1313" s="18">
        <v>0</v>
      </c>
      <c r="K1313" s="18">
        <v>0</v>
      </c>
      <c r="L1313" s="18">
        <v>1</v>
      </c>
      <c r="M1313" s="18">
        <v>1</v>
      </c>
      <c r="T1313" s="3">
        <f t="shared" si="22"/>
        <v>9</v>
      </c>
      <c r="U1313" s="3">
        <v>15</v>
      </c>
      <c r="V1313" s="3">
        <v>1</v>
      </c>
      <c r="X1313" s="2" t="s">
        <v>767</v>
      </c>
      <c r="Y1313" s="18">
        <v>0</v>
      </c>
      <c r="Z1313" s="18">
        <v>4</v>
      </c>
      <c r="AA1313" s="18">
        <v>0</v>
      </c>
      <c r="AB1313" s="18">
        <v>2</v>
      </c>
      <c r="AC1313" s="18">
        <v>0</v>
      </c>
      <c r="AD1313" s="18">
        <v>1</v>
      </c>
      <c r="AE1313" s="18">
        <v>0</v>
      </c>
      <c r="AF1313" s="18">
        <v>1</v>
      </c>
      <c r="AG1313" s="18">
        <v>0</v>
      </c>
      <c r="AN1313" s="3">
        <f t="shared" si="23"/>
        <v>8</v>
      </c>
      <c r="AO1313" s="3">
        <v>14</v>
      </c>
      <c r="AP1313" s="3">
        <v>1</v>
      </c>
      <c r="AR1313" s="2" t="s">
        <v>768</v>
      </c>
    </row>
    <row r="1314" spans="1:44" ht="12.75" customHeight="1">
      <c r="A1314" s="5">
        <v>40284</v>
      </c>
      <c r="C1314" s="2" t="s">
        <v>290</v>
      </c>
      <c r="D1314" s="2" t="s">
        <v>1743</v>
      </c>
      <c r="E1314" s="18">
        <v>0</v>
      </c>
      <c r="F1314" s="18">
        <v>0</v>
      </c>
      <c r="G1314" s="18">
        <v>0</v>
      </c>
      <c r="H1314" s="18">
        <v>2</v>
      </c>
      <c r="I1314" s="18">
        <v>0</v>
      </c>
      <c r="J1314" s="18">
        <v>0</v>
      </c>
      <c r="K1314" s="18">
        <v>4</v>
      </c>
      <c r="T1314" s="3">
        <f t="shared" si="22"/>
        <v>6</v>
      </c>
      <c r="U1314" s="3">
        <v>7</v>
      </c>
      <c r="V1314" s="3">
        <v>0</v>
      </c>
      <c r="X1314" s="2" t="s">
        <v>863</v>
      </c>
      <c r="Y1314" s="18">
        <v>1</v>
      </c>
      <c r="Z1314" s="18">
        <v>0</v>
      </c>
      <c r="AA1314" s="18">
        <v>0</v>
      </c>
      <c r="AB1314" s="18">
        <v>0</v>
      </c>
      <c r="AC1314" s="18">
        <v>4</v>
      </c>
      <c r="AD1314" s="18">
        <v>0</v>
      </c>
      <c r="AE1314" s="18">
        <v>0</v>
      </c>
      <c r="AN1314" s="3">
        <f t="shared" si="23"/>
        <v>5</v>
      </c>
      <c r="AO1314" s="3">
        <v>8</v>
      </c>
      <c r="AP1314" s="3">
        <v>2</v>
      </c>
      <c r="AR1314" s="2" t="s">
        <v>769</v>
      </c>
    </row>
    <row r="1315" spans="1:44" ht="12.75" customHeight="1">
      <c r="A1315" s="5">
        <v>40285</v>
      </c>
      <c r="C1315" s="2" t="s">
        <v>766</v>
      </c>
      <c r="D1315" s="2" t="s">
        <v>1743</v>
      </c>
      <c r="E1315" s="18">
        <v>0</v>
      </c>
      <c r="F1315" s="18">
        <v>0</v>
      </c>
      <c r="G1315" s="18">
        <v>4</v>
      </c>
      <c r="H1315" s="18">
        <v>0</v>
      </c>
      <c r="I1315" s="18">
        <v>4</v>
      </c>
      <c r="J1315" s="18">
        <v>2</v>
      </c>
      <c r="T1315" s="3">
        <f t="shared" si="22"/>
        <v>10</v>
      </c>
      <c r="U1315" s="3">
        <v>11</v>
      </c>
      <c r="V1315" s="3">
        <v>2</v>
      </c>
      <c r="X1315" s="2" t="s">
        <v>770</v>
      </c>
      <c r="Y1315" s="18">
        <v>0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  <c r="AN1315" s="3">
        <f t="shared" si="23"/>
        <v>0</v>
      </c>
      <c r="AO1315" s="3">
        <v>2</v>
      </c>
      <c r="AP1315" s="3">
        <v>5</v>
      </c>
      <c r="AR1315" s="2" t="s">
        <v>771</v>
      </c>
    </row>
    <row r="1316" spans="1:44" ht="12.75" customHeight="1">
      <c r="A1316" s="5">
        <v>40286</v>
      </c>
      <c r="C1316" s="2" t="s">
        <v>168</v>
      </c>
      <c r="D1316" s="2" t="s">
        <v>1743</v>
      </c>
      <c r="E1316" s="18">
        <v>0</v>
      </c>
      <c r="F1316" s="18">
        <v>0</v>
      </c>
      <c r="G1316" s="18">
        <v>0</v>
      </c>
      <c r="H1316" s="18">
        <v>0</v>
      </c>
      <c r="I1316" s="18">
        <v>0</v>
      </c>
      <c r="J1316" s="18">
        <v>1</v>
      </c>
      <c r="K1316" s="18">
        <v>0</v>
      </c>
      <c r="T1316" s="3">
        <f t="shared" si="22"/>
        <v>1</v>
      </c>
      <c r="U1316" s="3">
        <v>4</v>
      </c>
      <c r="V1316" s="3">
        <v>3</v>
      </c>
      <c r="X1316" s="2" t="s">
        <v>773</v>
      </c>
      <c r="Y1316" s="18">
        <v>0</v>
      </c>
      <c r="Z1316" s="18">
        <v>1</v>
      </c>
      <c r="AA1316" s="18">
        <v>1</v>
      </c>
      <c r="AB1316" s="18">
        <v>2</v>
      </c>
      <c r="AC1316" s="18">
        <v>0</v>
      </c>
      <c r="AD1316" s="18">
        <v>4</v>
      </c>
      <c r="AE1316" s="18" t="s">
        <v>162</v>
      </c>
      <c r="AN1316" s="3">
        <f t="shared" si="23"/>
        <v>8</v>
      </c>
      <c r="AO1316" s="3">
        <v>6</v>
      </c>
      <c r="AP1316" s="3">
        <v>8</v>
      </c>
      <c r="AR1316" s="2" t="s">
        <v>772</v>
      </c>
    </row>
    <row r="1317" spans="1:44" ht="12.75" customHeight="1">
      <c r="A1317" s="5">
        <v>40287</v>
      </c>
      <c r="C1317" s="2" t="s">
        <v>254</v>
      </c>
      <c r="E1317" s="18">
        <v>0</v>
      </c>
      <c r="F1317" s="18">
        <v>0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T1317" s="3">
        <f t="shared" si="22"/>
        <v>0</v>
      </c>
      <c r="U1317" s="3">
        <v>5</v>
      </c>
      <c r="V1317" s="3">
        <v>3</v>
      </c>
      <c r="X1317" s="2" t="s">
        <v>775</v>
      </c>
      <c r="Y1317" s="18">
        <v>3</v>
      </c>
      <c r="Z1317" s="18">
        <v>1</v>
      </c>
      <c r="AA1317" s="18">
        <v>3</v>
      </c>
      <c r="AB1317" s="18">
        <v>0</v>
      </c>
      <c r="AC1317" s="18">
        <v>0</v>
      </c>
      <c r="AD1317" s="18">
        <v>0</v>
      </c>
      <c r="AE1317" s="18">
        <v>2</v>
      </c>
      <c r="AN1317" s="3">
        <f t="shared" si="23"/>
        <v>9</v>
      </c>
      <c r="AO1317" s="3">
        <v>12</v>
      </c>
      <c r="AP1317" s="3">
        <v>0</v>
      </c>
      <c r="AR1317" s="2" t="s">
        <v>774</v>
      </c>
    </row>
    <row r="1318" spans="1:44" ht="12.75" customHeight="1">
      <c r="A1318" s="5">
        <v>40289</v>
      </c>
      <c r="B1318" s="2" t="s">
        <v>152</v>
      </c>
      <c r="C1318" s="2" t="s">
        <v>367</v>
      </c>
      <c r="E1318" s="18">
        <v>1</v>
      </c>
      <c r="F1318" s="18">
        <v>0</v>
      </c>
      <c r="G1318" s="18">
        <v>0</v>
      </c>
      <c r="H1318" s="18">
        <v>0</v>
      </c>
      <c r="I1318" s="18">
        <v>0</v>
      </c>
      <c r="T1318" s="3">
        <f t="shared" si="22"/>
        <v>1</v>
      </c>
      <c r="U1318" s="3">
        <v>3</v>
      </c>
      <c r="V1318" s="3">
        <v>6</v>
      </c>
      <c r="X1318" s="2" t="s">
        <v>776</v>
      </c>
      <c r="Y1318" s="18">
        <v>0</v>
      </c>
      <c r="Z1318" s="18">
        <v>2</v>
      </c>
      <c r="AA1318" s="18">
        <v>2</v>
      </c>
      <c r="AB1318" s="18">
        <v>10</v>
      </c>
      <c r="AC1318" s="18" t="s">
        <v>162</v>
      </c>
      <c r="AN1318" s="3">
        <f t="shared" si="23"/>
        <v>14</v>
      </c>
      <c r="AO1318" s="3">
        <v>17</v>
      </c>
      <c r="AP1318" s="3">
        <v>0</v>
      </c>
      <c r="AR1318" s="2" t="s">
        <v>777</v>
      </c>
    </row>
    <row r="1319" spans="1:44" ht="12.75" customHeight="1">
      <c r="A1319" s="5">
        <v>40290</v>
      </c>
      <c r="C1319" s="2" t="s">
        <v>168</v>
      </c>
      <c r="E1319" s="18">
        <v>1</v>
      </c>
      <c r="F1319" s="18">
        <v>1</v>
      </c>
      <c r="G1319" s="18">
        <v>0</v>
      </c>
      <c r="H1319" s="18">
        <v>0</v>
      </c>
      <c r="I1319" s="18">
        <v>0</v>
      </c>
      <c r="J1319" s="18">
        <v>0</v>
      </c>
      <c r="K1319" s="18">
        <v>4</v>
      </c>
      <c r="T1319" s="3">
        <f t="shared" si="22"/>
        <v>6</v>
      </c>
      <c r="U1319" s="3">
        <v>6</v>
      </c>
      <c r="V1319" s="3">
        <v>1</v>
      </c>
      <c r="X1319" s="2" t="s">
        <v>779</v>
      </c>
      <c r="Y1319" s="18">
        <v>1</v>
      </c>
      <c r="Z1319" s="18">
        <v>0</v>
      </c>
      <c r="AA1319" s="18">
        <v>6</v>
      </c>
      <c r="AB1319" s="18">
        <v>0</v>
      </c>
      <c r="AC1319" s="18">
        <v>0</v>
      </c>
      <c r="AD1319" s="18">
        <v>1</v>
      </c>
      <c r="AE1319" s="18">
        <v>3</v>
      </c>
      <c r="AN1319" s="3">
        <f t="shared" si="23"/>
        <v>11</v>
      </c>
      <c r="AO1319" s="3">
        <v>15</v>
      </c>
      <c r="AP1319" s="3">
        <v>4</v>
      </c>
      <c r="AR1319" s="2" t="s">
        <v>778</v>
      </c>
    </row>
    <row r="1320" spans="1:44" ht="12.75" customHeight="1">
      <c r="A1320" s="5">
        <v>40296</v>
      </c>
      <c r="B1320" s="2" t="s">
        <v>152</v>
      </c>
      <c r="C1320" s="2" t="s">
        <v>192</v>
      </c>
      <c r="E1320" s="18">
        <v>0</v>
      </c>
      <c r="F1320" s="18">
        <v>2</v>
      </c>
      <c r="G1320" s="18">
        <v>0</v>
      </c>
      <c r="H1320" s="18">
        <v>0</v>
      </c>
      <c r="I1320" s="18">
        <v>1</v>
      </c>
      <c r="J1320" s="18">
        <v>3</v>
      </c>
      <c r="K1320" s="18">
        <v>4</v>
      </c>
      <c r="T1320" s="3">
        <f t="shared" si="22"/>
        <v>10</v>
      </c>
      <c r="U1320" s="3">
        <v>14</v>
      </c>
      <c r="V1320" s="3">
        <v>1</v>
      </c>
      <c r="X1320" s="2" t="s">
        <v>780</v>
      </c>
      <c r="Y1320" s="18">
        <v>1</v>
      </c>
      <c r="Z1320" s="18">
        <v>0</v>
      </c>
      <c r="AA1320" s="18">
        <v>0</v>
      </c>
      <c r="AB1320" s="18">
        <v>0</v>
      </c>
      <c r="AC1320" s="18">
        <v>2</v>
      </c>
      <c r="AD1320" s="18">
        <v>0</v>
      </c>
      <c r="AE1320" s="18">
        <v>1</v>
      </c>
      <c r="AN1320" s="3">
        <f t="shared" si="23"/>
        <v>4</v>
      </c>
      <c r="AO1320" s="3">
        <v>9</v>
      </c>
      <c r="AP1320" s="3">
        <v>4</v>
      </c>
      <c r="AR1320" s="2" t="s">
        <v>781</v>
      </c>
    </row>
    <row r="1321" spans="1:44" ht="12.75" customHeight="1">
      <c r="A1321" s="5">
        <v>40301</v>
      </c>
      <c r="B1321" s="2" t="s">
        <v>152</v>
      </c>
      <c r="C1321" s="2" t="s">
        <v>191</v>
      </c>
      <c r="E1321" s="18">
        <v>0</v>
      </c>
      <c r="F1321" s="18">
        <v>1</v>
      </c>
      <c r="G1321" s="18">
        <v>0</v>
      </c>
      <c r="H1321" s="18">
        <v>0</v>
      </c>
      <c r="I1321" s="18">
        <v>0</v>
      </c>
      <c r="J1321" s="18">
        <v>3</v>
      </c>
      <c r="K1321" s="18">
        <v>1</v>
      </c>
      <c r="T1321" s="3">
        <f t="shared" si="22"/>
        <v>5</v>
      </c>
      <c r="U1321" s="3">
        <v>8</v>
      </c>
      <c r="V1321" s="3">
        <v>3</v>
      </c>
      <c r="X1321" s="2" t="s">
        <v>782</v>
      </c>
      <c r="Y1321" s="18">
        <v>1</v>
      </c>
      <c r="Z1321" s="18">
        <v>0</v>
      </c>
      <c r="AA1321" s="18">
        <v>2</v>
      </c>
      <c r="AB1321" s="18">
        <v>0</v>
      </c>
      <c r="AC1321" s="18">
        <v>1</v>
      </c>
      <c r="AD1321" s="18">
        <v>0</v>
      </c>
      <c r="AE1321" s="18">
        <v>2</v>
      </c>
      <c r="AN1321" s="3">
        <f t="shared" si="23"/>
        <v>6</v>
      </c>
      <c r="AO1321" s="3">
        <v>11</v>
      </c>
      <c r="AP1321" s="3">
        <v>2</v>
      </c>
      <c r="AR1321" s="2" t="s">
        <v>1381</v>
      </c>
    </row>
    <row r="1322" spans="1:44" ht="12.75" customHeight="1">
      <c r="A1322" s="5">
        <v>40303</v>
      </c>
      <c r="C1322" s="2" t="s">
        <v>138</v>
      </c>
      <c r="E1322" s="18">
        <v>8</v>
      </c>
      <c r="F1322" s="18">
        <v>1</v>
      </c>
      <c r="G1322" s="18">
        <v>3</v>
      </c>
      <c r="H1322" s="18">
        <v>5</v>
      </c>
      <c r="I1322" s="18" t="s">
        <v>162</v>
      </c>
      <c r="T1322" s="3">
        <f t="shared" si="22"/>
        <v>17</v>
      </c>
      <c r="U1322" s="3">
        <v>13</v>
      </c>
      <c r="V1322" s="3">
        <v>5</v>
      </c>
      <c r="X1322" s="2" t="s">
        <v>1474</v>
      </c>
      <c r="Y1322" s="18">
        <v>1</v>
      </c>
      <c r="Z1322" s="18">
        <v>4</v>
      </c>
      <c r="AA1322" s="18">
        <v>0</v>
      </c>
      <c r="AB1322" s="18">
        <v>0</v>
      </c>
      <c r="AC1322" s="18">
        <v>0</v>
      </c>
      <c r="AN1322" s="3">
        <f t="shared" si="23"/>
        <v>5</v>
      </c>
      <c r="AO1322" s="3">
        <v>5</v>
      </c>
      <c r="AP1322" s="3">
        <v>3</v>
      </c>
      <c r="AR1322" s="2" t="s">
        <v>783</v>
      </c>
    </row>
    <row r="1323" spans="1:44" ht="12.75" customHeight="1">
      <c r="A1323" s="5">
        <v>40305</v>
      </c>
      <c r="B1323" s="2" t="s">
        <v>152</v>
      </c>
      <c r="C1323" s="2" t="s">
        <v>138</v>
      </c>
      <c r="E1323" s="18">
        <v>1</v>
      </c>
      <c r="F1323" s="18">
        <v>4</v>
      </c>
      <c r="G1323" s="18">
        <v>2</v>
      </c>
      <c r="H1323" s="18">
        <v>6</v>
      </c>
      <c r="I1323" s="18">
        <v>3</v>
      </c>
      <c r="J1323" s="18">
        <v>6</v>
      </c>
      <c r="T1323" s="3">
        <f t="shared" si="22"/>
        <v>22</v>
      </c>
      <c r="U1323" s="3">
        <v>15</v>
      </c>
      <c r="V1323" s="3">
        <v>6</v>
      </c>
      <c r="X1323" s="2" t="s">
        <v>784</v>
      </c>
      <c r="Y1323" s="18">
        <v>4</v>
      </c>
      <c r="Z1323" s="18">
        <v>1</v>
      </c>
      <c r="AA1323" s="18">
        <v>0</v>
      </c>
      <c r="AB1323" s="18">
        <v>1</v>
      </c>
      <c r="AC1323" s="18">
        <v>2</v>
      </c>
      <c r="AD1323" s="18">
        <v>0</v>
      </c>
      <c r="AN1323" s="3">
        <f t="shared" si="23"/>
        <v>8</v>
      </c>
      <c r="AO1323" s="3">
        <v>5</v>
      </c>
      <c r="AP1323" s="3">
        <v>5</v>
      </c>
      <c r="AR1323" s="2" t="s">
        <v>785</v>
      </c>
    </row>
    <row r="1324" spans="1:44" ht="12.75" customHeight="1">
      <c r="A1324" s="5">
        <v>40308</v>
      </c>
      <c r="B1324" s="2" t="s">
        <v>152</v>
      </c>
      <c r="C1324" s="2" t="s">
        <v>183</v>
      </c>
      <c r="E1324" s="18">
        <v>0</v>
      </c>
      <c r="F1324" s="18">
        <v>0</v>
      </c>
      <c r="G1324" s="18">
        <v>0</v>
      </c>
      <c r="H1324" s="18">
        <v>1</v>
      </c>
      <c r="I1324" s="18">
        <v>2</v>
      </c>
      <c r="J1324" s="18">
        <v>0</v>
      </c>
      <c r="K1324" s="18">
        <v>0</v>
      </c>
      <c r="T1324" s="3">
        <f t="shared" si="22"/>
        <v>3</v>
      </c>
      <c r="U1324" s="3">
        <v>8</v>
      </c>
      <c r="V1324" s="3">
        <v>2</v>
      </c>
      <c r="X1324" s="2" t="s">
        <v>764</v>
      </c>
      <c r="Y1324" s="18">
        <v>4</v>
      </c>
      <c r="Z1324" s="18">
        <v>2</v>
      </c>
      <c r="AA1324" s="18">
        <v>0</v>
      </c>
      <c r="AB1324" s="18">
        <v>0</v>
      </c>
      <c r="AC1324" s="18">
        <v>0</v>
      </c>
      <c r="AD1324" s="18">
        <v>4</v>
      </c>
      <c r="AE1324" s="18" t="s">
        <v>162</v>
      </c>
      <c r="AN1324" s="3">
        <f t="shared" si="23"/>
        <v>10</v>
      </c>
      <c r="AO1324" s="3">
        <v>13</v>
      </c>
      <c r="AP1324" s="3">
        <v>3</v>
      </c>
      <c r="AR1324" s="2" t="s">
        <v>765</v>
      </c>
    </row>
    <row r="1325" spans="1:44" ht="12.75" customHeight="1">
      <c r="A1325" s="5">
        <v>40312</v>
      </c>
      <c r="C1325" s="2" t="s">
        <v>305</v>
      </c>
      <c r="E1325" s="18">
        <v>0</v>
      </c>
      <c r="F1325" s="18">
        <v>2</v>
      </c>
      <c r="G1325" s="18">
        <v>1</v>
      </c>
      <c r="H1325" s="18">
        <v>0</v>
      </c>
      <c r="I1325" s="18">
        <v>0</v>
      </c>
      <c r="J1325" s="18">
        <v>3</v>
      </c>
      <c r="K1325" s="18">
        <v>1</v>
      </c>
      <c r="T1325" s="3">
        <f t="shared" si="22"/>
        <v>7</v>
      </c>
      <c r="U1325" s="3">
        <v>8</v>
      </c>
      <c r="V1325" s="3">
        <v>2</v>
      </c>
      <c r="X1325" s="2" t="s">
        <v>786</v>
      </c>
      <c r="Y1325" s="18">
        <v>1</v>
      </c>
      <c r="Z1325" s="18">
        <v>2</v>
      </c>
      <c r="AA1325" s="18">
        <v>0</v>
      </c>
      <c r="AB1325" s="18">
        <v>2</v>
      </c>
      <c r="AC1325" s="18">
        <v>4</v>
      </c>
      <c r="AD1325" s="18">
        <v>2</v>
      </c>
      <c r="AE1325" s="18">
        <v>1</v>
      </c>
      <c r="AN1325" s="3">
        <f t="shared" si="23"/>
        <v>12</v>
      </c>
      <c r="AO1325" s="3">
        <v>21</v>
      </c>
      <c r="AP1325" s="3">
        <v>0</v>
      </c>
      <c r="AR1325" s="2" t="s">
        <v>787</v>
      </c>
    </row>
    <row r="1326" spans="1:44" ht="12.75" customHeight="1">
      <c r="A1326" s="5">
        <v>40317</v>
      </c>
      <c r="C1326" s="2" t="s">
        <v>192</v>
      </c>
      <c r="E1326" s="18">
        <v>3</v>
      </c>
      <c r="F1326" s="18">
        <v>0</v>
      </c>
      <c r="G1326" s="18">
        <v>0</v>
      </c>
      <c r="H1326" s="18">
        <v>1</v>
      </c>
      <c r="I1326" s="18">
        <v>5</v>
      </c>
      <c r="J1326" s="18">
        <v>1</v>
      </c>
      <c r="K1326" s="18" t="s">
        <v>162</v>
      </c>
      <c r="T1326" s="3">
        <f t="shared" si="22"/>
        <v>10</v>
      </c>
      <c r="U1326" s="3">
        <v>11</v>
      </c>
      <c r="V1326" s="3">
        <v>1</v>
      </c>
      <c r="X1326" s="2" t="s">
        <v>1954</v>
      </c>
      <c r="Y1326" s="18">
        <v>4</v>
      </c>
      <c r="Z1326" s="18">
        <v>0</v>
      </c>
      <c r="AA1326" s="18">
        <v>0</v>
      </c>
      <c r="AB1326" s="18">
        <v>0</v>
      </c>
      <c r="AC1326" s="18">
        <v>0</v>
      </c>
      <c r="AD1326" s="18">
        <v>1</v>
      </c>
      <c r="AE1326" s="18">
        <v>0</v>
      </c>
      <c r="AN1326" s="3">
        <f t="shared" si="23"/>
        <v>5</v>
      </c>
      <c r="AO1326" s="3">
        <v>9</v>
      </c>
      <c r="AP1326" s="3">
        <v>4</v>
      </c>
      <c r="AR1326" s="2" t="s">
        <v>1955</v>
      </c>
    </row>
    <row r="1327" spans="1:44" ht="12.75" customHeight="1">
      <c r="A1327" s="5">
        <v>40318</v>
      </c>
      <c r="B1327" s="2" t="s">
        <v>152</v>
      </c>
      <c r="C1327" s="2" t="s">
        <v>168</v>
      </c>
      <c r="E1327" s="18">
        <v>1</v>
      </c>
      <c r="F1327" s="18">
        <v>0</v>
      </c>
      <c r="G1327" s="18">
        <v>0</v>
      </c>
      <c r="H1327" s="18">
        <v>0</v>
      </c>
      <c r="I1327" s="18">
        <v>0</v>
      </c>
      <c r="T1327" s="3">
        <f t="shared" si="22"/>
        <v>1</v>
      </c>
      <c r="U1327" s="3">
        <v>5</v>
      </c>
      <c r="V1327" s="3">
        <v>1</v>
      </c>
      <c r="X1327" s="2" t="s">
        <v>1956</v>
      </c>
      <c r="Y1327" s="18">
        <v>5</v>
      </c>
      <c r="Z1327" s="18">
        <v>0</v>
      </c>
      <c r="AA1327" s="18">
        <v>0</v>
      </c>
      <c r="AB1327" s="18">
        <v>5</v>
      </c>
      <c r="AC1327" s="18">
        <v>1</v>
      </c>
      <c r="AN1327" s="3">
        <f t="shared" si="23"/>
        <v>11</v>
      </c>
      <c r="AO1327" s="3">
        <v>10</v>
      </c>
      <c r="AP1327" s="3">
        <v>1</v>
      </c>
      <c r="AR1327" s="2" t="s">
        <v>1957</v>
      </c>
    </row>
    <row r="1328" spans="1:44" ht="12.75" customHeight="1">
      <c r="A1328" s="5">
        <v>40324</v>
      </c>
      <c r="C1328" s="2" t="s">
        <v>183</v>
      </c>
      <c r="D1328" s="2" t="s">
        <v>258</v>
      </c>
      <c r="E1328" s="18">
        <v>1</v>
      </c>
      <c r="F1328" s="18">
        <v>2</v>
      </c>
      <c r="G1328" s="18">
        <v>2</v>
      </c>
      <c r="H1328" s="18">
        <v>1</v>
      </c>
      <c r="I1328" s="18">
        <v>1</v>
      </c>
      <c r="J1328" s="18">
        <v>0</v>
      </c>
      <c r="K1328" s="18">
        <v>1</v>
      </c>
      <c r="T1328" s="3">
        <f t="shared" si="22"/>
        <v>8</v>
      </c>
      <c r="U1328" s="3">
        <v>13</v>
      </c>
      <c r="V1328" s="3">
        <v>6</v>
      </c>
      <c r="X1328" s="2" t="s">
        <v>760</v>
      </c>
      <c r="Y1328" s="18">
        <v>5</v>
      </c>
      <c r="Z1328" s="18">
        <v>1</v>
      </c>
      <c r="AA1328" s="18">
        <v>0</v>
      </c>
      <c r="AB1328" s="18">
        <v>5</v>
      </c>
      <c r="AC1328" s="18">
        <v>1</v>
      </c>
      <c r="AD1328" s="18">
        <v>0</v>
      </c>
      <c r="AE1328" s="18">
        <v>0</v>
      </c>
      <c r="AN1328" s="3">
        <f t="shared" si="23"/>
        <v>12</v>
      </c>
      <c r="AO1328" s="3">
        <v>10</v>
      </c>
      <c r="AP1328" s="3">
        <v>0</v>
      </c>
      <c r="AR1328" s="2" t="s">
        <v>1958</v>
      </c>
    </row>
    <row r="1329" ht="12.75" customHeight="1"/>
    <row r="1330" spans="1:45" ht="12.75" customHeight="1">
      <c r="A1330" s="5">
        <v>40630</v>
      </c>
      <c r="B1330" s="2" t="s">
        <v>152</v>
      </c>
      <c r="C1330" s="2" t="s">
        <v>174</v>
      </c>
      <c r="E1330" s="18">
        <v>0</v>
      </c>
      <c r="F1330" s="18">
        <v>0</v>
      </c>
      <c r="G1330" s="18">
        <v>3</v>
      </c>
      <c r="H1330" s="18">
        <v>3</v>
      </c>
      <c r="I1330" s="18">
        <v>0</v>
      </c>
      <c r="T1330" s="3">
        <f aca="true" t="shared" si="24" ref="T1330:T1348">SUM(E1330:S1330)</f>
        <v>6</v>
      </c>
      <c r="U1330" s="3">
        <v>6</v>
      </c>
      <c r="V1330" s="3">
        <v>3</v>
      </c>
      <c r="X1330" s="2" t="s">
        <v>1959</v>
      </c>
      <c r="Y1330" s="18">
        <v>10</v>
      </c>
      <c r="Z1330" s="18">
        <v>2</v>
      </c>
      <c r="AA1330" s="18">
        <v>4</v>
      </c>
      <c r="AB1330" s="18">
        <v>1</v>
      </c>
      <c r="AC1330" s="18" t="s">
        <v>162</v>
      </c>
      <c r="AN1330" s="3">
        <f aca="true" t="shared" si="25" ref="AN1330:AN1348">SUM(Y1330:AM1330)</f>
        <v>17</v>
      </c>
      <c r="AO1330" s="3">
        <v>13</v>
      </c>
      <c r="AP1330" s="3">
        <v>2</v>
      </c>
      <c r="AR1330" s="2" t="s">
        <v>2376</v>
      </c>
      <c r="AS1330" s="2" t="s">
        <v>1848</v>
      </c>
    </row>
    <row r="1331" spans="1:46" ht="12.75" customHeight="1">
      <c r="A1331" s="5">
        <v>40644</v>
      </c>
      <c r="C1331" s="2" t="s">
        <v>297</v>
      </c>
      <c r="E1331" s="18">
        <v>2</v>
      </c>
      <c r="F1331" s="18">
        <v>0</v>
      </c>
      <c r="G1331" s="18">
        <v>0</v>
      </c>
      <c r="H1331" s="18">
        <v>0</v>
      </c>
      <c r="I1331" s="18">
        <v>1</v>
      </c>
      <c r="J1331" s="18">
        <v>1</v>
      </c>
      <c r="K1331" s="18">
        <v>0</v>
      </c>
      <c r="T1331" s="3">
        <f t="shared" si="24"/>
        <v>4</v>
      </c>
      <c r="U1331" s="3">
        <v>3</v>
      </c>
      <c r="V1331" s="3">
        <v>4</v>
      </c>
      <c r="X1331" s="2" t="s">
        <v>1966</v>
      </c>
      <c r="Y1331" s="18">
        <v>4</v>
      </c>
      <c r="Z1331" s="18">
        <v>0</v>
      </c>
      <c r="AA1331" s="18">
        <v>0</v>
      </c>
      <c r="AB1331" s="18">
        <v>0</v>
      </c>
      <c r="AC1331" s="18">
        <v>2</v>
      </c>
      <c r="AD1331" s="18">
        <v>3</v>
      </c>
      <c r="AE1331" s="18">
        <v>0</v>
      </c>
      <c r="AN1331" s="3">
        <f t="shared" si="25"/>
        <v>9</v>
      </c>
      <c r="AO1331" s="3">
        <v>11</v>
      </c>
      <c r="AP1331" s="3">
        <v>3</v>
      </c>
      <c r="AR1331" s="2" t="s">
        <v>1965</v>
      </c>
      <c r="AS1331" s="2" t="s">
        <v>326</v>
      </c>
      <c r="AT1331" s="2">
        <v>11</v>
      </c>
    </row>
    <row r="1332" spans="1:44" ht="12.75" customHeight="1">
      <c r="A1332" s="5">
        <v>40647</v>
      </c>
      <c r="B1332" s="2" t="s">
        <v>152</v>
      </c>
      <c r="C1332" s="2" t="s">
        <v>379</v>
      </c>
      <c r="E1332" s="18">
        <v>1</v>
      </c>
      <c r="F1332" s="18">
        <v>3</v>
      </c>
      <c r="G1332" s="18">
        <v>7</v>
      </c>
      <c r="H1332" s="18">
        <v>0</v>
      </c>
      <c r="I1332" s="18">
        <v>0</v>
      </c>
      <c r="J1332" s="18">
        <v>0</v>
      </c>
      <c r="K1332" s="18">
        <v>2</v>
      </c>
      <c r="T1332" s="3">
        <f t="shared" si="24"/>
        <v>13</v>
      </c>
      <c r="U1332" s="3">
        <v>11</v>
      </c>
      <c r="V1332" s="3">
        <v>3</v>
      </c>
      <c r="X1332" s="2" t="s">
        <v>863</v>
      </c>
      <c r="Y1332" s="18">
        <v>0</v>
      </c>
      <c r="Z1332" s="18">
        <v>0</v>
      </c>
      <c r="AA1332" s="18">
        <v>2</v>
      </c>
      <c r="AB1332" s="18">
        <v>0</v>
      </c>
      <c r="AC1332" s="18">
        <v>2</v>
      </c>
      <c r="AD1332" s="18">
        <v>0</v>
      </c>
      <c r="AE1332" s="18">
        <v>2</v>
      </c>
      <c r="AN1332" s="3">
        <f t="shared" si="25"/>
        <v>6</v>
      </c>
      <c r="AO1332" s="3">
        <v>12</v>
      </c>
      <c r="AP1332" s="3">
        <v>1</v>
      </c>
      <c r="AR1332" s="2" t="s">
        <v>1960</v>
      </c>
    </row>
    <row r="1333" spans="1:44" ht="12.75" customHeight="1">
      <c r="A1333" s="5">
        <v>40648</v>
      </c>
      <c r="B1333" s="2" t="s">
        <v>152</v>
      </c>
      <c r="C1333" s="2" t="s">
        <v>2213</v>
      </c>
      <c r="E1333" s="18">
        <v>2</v>
      </c>
      <c r="F1333" s="18">
        <v>0</v>
      </c>
      <c r="G1333" s="18">
        <v>1</v>
      </c>
      <c r="H1333" s="18">
        <v>2</v>
      </c>
      <c r="I1333" s="18">
        <v>1</v>
      </c>
      <c r="J1333" s="18">
        <v>0</v>
      </c>
      <c r="K1333" s="18">
        <v>0</v>
      </c>
      <c r="T1333" s="3">
        <f t="shared" si="24"/>
        <v>6</v>
      </c>
      <c r="U1333" s="3">
        <v>5</v>
      </c>
      <c r="V1333" s="3">
        <v>4</v>
      </c>
      <c r="X1333" s="2" t="s">
        <v>1964</v>
      </c>
      <c r="Y1333" s="18">
        <v>0</v>
      </c>
      <c r="Z1333" s="18">
        <v>1</v>
      </c>
      <c r="AA1333" s="18">
        <v>1</v>
      </c>
      <c r="AB1333" s="18">
        <v>2</v>
      </c>
      <c r="AC1333" s="18">
        <v>1</v>
      </c>
      <c r="AD1333" s="18">
        <v>2</v>
      </c>
      <c r="AE1333" s="18" t="s">
        <v>162</v>
      </c>
      <c r="AN1333" s="3">
        <f t="shared" si="25"/>
        <v>7</v>
      </c>
      <c r="AO1333" s="3">
        <v>6</v>
      </c>
      <c r="AP1333" s="3">
        <v>2</v>
      </c>
      <c r="AR1333" s="2" t="s">
        <v>1961</v>
      </c>
    </row>
    <row r="1334" spans="1:44" ht="12.75" customHeight="1">
      <c r="A1334" s="5">
        <v>40651</v>
      </c>
      <c r="C1334" s="2" t="s">
        <v>374</v>
      </c>
      <c r="E1334" s="18">
        <v>0</v>
      </c>
      <c r="F1334" s="18">
        <v>0</v>
      </c>
      <c r="G1334" s="18">
        <v>0</v>
      </c>
      <c r="H1334" s="18">
        <v>1</v>
      </c>
      <c r="I1334" s="18">
        <v>6</v>
      </c>
      <c r="J1334" s="18">
        <v>2</v>
      </c>
      <c r="K1334" s="18" t="s">
        <v>162</v>
      </c>
      <c r="T1334" s="3">
        <f t="shared" si="24"/>
        <v>9</v>
      </c>
      <c r="U1334" s="3">
        <v>11</v>
      </c>
      <c r="V1334" s="3">
        <v>2</v>
      </c>
      <c r="X1334" s="2" t="s">
        <v>1963</v>
      </c>
      <c r="Y1334" s="18">
        <v>2</v>
      </c>
      <c r="Z1334" s="18">
        <v>0</v>
      </c>
      <c r="AA1334" s="18">
        <v>1</v>
      </c>
      <c r="AB1334" s="18">
        <v>2</v>
      </c>
      <c r="AC1334" s="18">
        <v>1</v>
      </c>
      <c r="AD1334" s="18">
        <v>1</v>
      </c>
      <c r="AE1334" s="18">
        <v>0</v>
      </c>
      <c r="AN1334" s="3">
        <f t="shared" si="25"/>
        <v>7</v>
      </c>
      <c r="AO1334" s="3">
        <v>11</v>
      </c>
      <c r="AP1334" s="3">
        <v>3</v>
      </c>
      <c r="AR1334" s="2" t="s">
        <v>1962</v>
      </c>
    </row>
    <row r="1335" spans="1:44" ht="12.75" customHeight="1">
      <c r="A1335" s="5">
        <v>40660</v>
      </c>
      <c r="C1335" s="2" t="s">
        <v>305</v>
      </c>
      <c r="E1335" s="18">
        <v>1</v>
      </c>
      <c r="F1335" s="18">
        <v>0</v>
      </c>
      <c r="G1335" s="18">
        <v>4</v>
      </c>
      <c r="H1335" s="18">
        <v>2</v>
      </c>
      <c r="I1335" s="18">
        <v>3</v>
      </c>
      <c r="T1335" s="3">
        <f t="shared" si="24"/>
        <v>10</v>
      </c>
      <c r="U1335" s="3">
        <v>12</v>
      </c>
      <c r="V1335" s="3">
        <v>2</v>
      </c>
      <c r="X1335" s="2" t="s">
        <v>1966</v>
      </c>
      <c r="Y1335" s="18">
        <v>1</v>
      </c>
      <c r="Z1335" s="18">
        <v>0</v>
      </c>
      <c r="AA1335" s="18">
        <v>1</v>
      </c>
      <c r="AB1335" s="18">
        <v>0</v>
      </c>
      <c r="AC1335" s="18">
        <v>0</v>
      </c>
      <c r="AN1335" s="3">
        <f t="shared" si="25"/>
        <v>2</v>
      </c>
      <c r="AO1335" s="3">
        <v>6</v>
      </c>
      <c r="AP1335" s="3">
        <v>2</v>
      </c>
      <c r="AR1335" s="2" t="s">
        <v>1969</v>
      </c>
    </row>
    <row r="1336" spans="1:44" ht="12.75" customHeight="1">
      <c r="A1336" s="5">
        <v>40661</v>
      </c>
      <c r="C1336" s="2" t="s">
        <v>192</v>
      </c>
      <c r="E1336" s="18">
        <v>3</v>
      </c>
      <c r="F1336" s="18">
        <v>4</v>
      </c>
      <c r="G1336" s="18">
        <v>1</v>
      </c>
      <c r="H1336" s="18">
        <v>1</v>
      </c>
      <c r="I1336" s="18">
        <v>0</v>
      </c>
      <c r="J1336" s="18">
        <v>6</v>
      </c>
      <c r="T1336" s="3">
        <f t="shared" si="24"/>
        <v>15</v>
      </c>
      <c r="U1336" s="3">
        <v>16</v>
      </c>
      <c r="V1336" s="3">
        <v>2</v>
      </c>
      <c r="X1336" s="2" t="s">
        <v>1967</v>
      </c>
      <c r="Y1336" s="18">
        <v>0</v>
      </c>
      <c r="Z1336" s="18">
        <v>0</v>
      </c>
      <c r="AA1336" s="18">
        <v>0</v>
      </c>
      <c r="AB1336" s="18">
        <v>1</v>
      </c>
      <c r="AC1336" s="18">
        <v>1</v>
      </c>
      <c r="AD1336" s="18">
        <v>0</v>
      </c>
      <c r="AN1336" s="3">
        <f t="shared" si="25"/>
        <v>2</v>
      </c>
      <c r="AO1336" s="3">
        <v>4</v>
      </c>
      <c r="AP1336" s="3">
        <v>1</v>
      </c>
      <c r="AR1336" s="2" t="s">
        <v>1968</v>
      </c>
    </row>
    <row r="1337" spans="1:44" ht="12.75" customHeight="1">
      <c r="A1337" s="5">
        <v>40662</v>
      </c>
      <c r="C1337" s="2" t="s">
        <v>943</v>
      </c>
      <c r="E1337" s="18">
        <v>1</v>
      </c>
      <c r="F1337" s="18">
        <v>5</v>
      </c>
      <c r="G1337" s="18">
        <v>10</v>
      </c>
      <c r="H1337" s="18">
        <v>3</v>
      </c>
      <c r="I1337" s="18">
        <v>3</v>
      </c>
      <c r="J1337" s="18">
        <v>0</v>
      </c>
      <c r="T1337" s="3">
        <f t="shared" si="24"/>
        <v>22</v>
      </c>
      <c r="U1337" s="3">
        <v>16</v>
      </c>
      <c r="V1337" s="3">
        <v>6</v>
      </c>
      <c r="X1337" s="2" t="s">
        <v>1970</v>
      </c>
      <c r="Y1337" s="18">
        <v>0</v>
      </c>
      <c r="Z1337" s="18">
        <v>7</v>
      </c>
      <c r="AA1337" s="18">
        <v>7</v>
      </c>
      <c r="AB1337" s="18">
        <v>7</v>
      </c>
      <c r="AC1337" s="18">
        <v>3</v>
      </c>
      <c r="AD1337" s="18">
        <v>12</v>
      </c>
      <c r="AN1337" s="3">
        <f t="shared" si="25"/>
        <v>36</v>
      </c>
      <c r="AO1337" s="3">
        <v>37</v>
      </c>
      <c r="AP1337" s="3">
        <v>3</v>
      </c>
      <c r="AR1337" s="2" t="s">
        <v>1971</v>
      </c>
    </row>
    <row r="1338" spans="1:44" ht="12.75" customHeight="1">
      <c r="A1338" s="5">
        <v>40663</v>
      </c>
      <c r="C1338" s="2" t="s">
        <v>392</v>
      </c>
      <c r="E1338" s="18">
        <v>0</v>
      </c>
      <c r="F1338" s="18">
        <v>0</v>
      </c>
      <c r="G1338" s="18">
        <v>0</v>
      </c>
      <c r="H1338" s="18">
        <v>0</v>
      </c>
      <c r="I1338" s="18">
        <v>0</v>
      </c>
      <c r="J1338" s="18">
        <v>0</v>
      </c>
      <c r="K1338" s="18">
        <v>2</v>
      </c>
      <c r="T1338" s="3">
        <f t="shared" si="24"/>
        <v>2</v>
      </c>
      <c r="U1338" s="3">
        <v>8</v>
      </c>
      <c r="V1338" s="3">
        <v>0</v>
      </c>
      <c r="X1338" s="2" t="s">
        <v>786</v>
      </c>
      <c r="Y1338" s="18">
        <v>3</v>
      </c>
      <c r="Z1338" s="18">
        <v>0</v>
      </c>
      <c r="AA1338" s="18">
        <v>1</v>
      </c>
      <c r="AB1338" s="18">
        <v>0</v>
      </c>
      <c r="AC1338" s="18">
        <v>2</v>
      </c>
      <c r="AD1338" s="18">
        <v>1</v>
      </c>
      <c r="AE1338" s="18">
        <v>3</v>
      </c>
      <c r="AN1338" s="3">
        <f t="shared" si="25"/>
        <v>10</v>
      </c>
      <c r="AO1338" s="3">
        <v>18</v>
      </c>
      <c r="AP1338" s="3">
        <v>1</v>
      </c>
      <c r="AR1338" s="2" t="s">
        <v>1972</v>
      </c>
    </row>
    <row r="1339" spans="1:44" ht="12.75" customHeight="1">
      <c r="A1339" s="5">
        <v>40665</v>
      </c>
      <c r="B1339" s="2" t="s">
        <v>152</v>
      </c>
      <c r="C1339" s="2" t="s">
        <v>297</v>
      </c>
      <c r="E1339" s="18">
        <v>0</v>
      </c>
      <c r="F1339" s="18">
        <v>0</v>
      </c>
      <c r="G1339" s="18">
        <v>1</v>
      </c>
      <c r="H1339" s="18">
        <v>0</v>
      </c>
      <c r="I1339" s="18">
        <v>3</v>
      </c>
      <c r="J1339" s="18">
        <v>3</v>
      </c>
      <c r="K1339" s="18">
        <v>3</v>
      </c>
      <c r="T1339" s="3">
        <f t="shared" si="24"/>
        <v>10</v>
      </c>
      <c r="U1339" s="3">
        <v>12</v>
      </c>
      <c r="V1339" s="3">
        <v>0</v>
      </c>
      <c r="X1339" s="2" t="s">
        <v>1964</v>
      </c>
      <c r="Y1339" s="18">
        <v>0</v>
      </c>
      <c r="AA1339" s="18">
        <v>0</v>
      </c>
      <c r="AB1339" s="18">
        <v>2</v>
      </c>
      <c r="AC1339" s="18">
        <v>3</v>
      </c>
      <c r="AD1339" s="18">
        <v>0</v>
      </c>
      <c r="AE1339" s="18">
        <v>1</v>
      </c>
      <c r="AF1339" s="18">
        <v>3</v>
      </c>
      <c r="AN1339" s="3">
        <f t="shared" si="25"/>
        <v>9</v>
      </c>
      <c r="AO1339" s="3">
        <v>14</v>
      </c>
      <c r="AP1339" s="3">
        <v>4</v>
      </c>
      <c r="AR1339" s="10" t="s">
        <v>1977</v>
      </c>
    </row>
    <row r="1340" spans="1:44" ht="12.75" customHeight="1">
      <c r="A1340" s="5">
        <v>40667</v>
      </c>
      <c r="B1340" s="2" t="s">
        <v>152</v>
      </c>
      <c r="C1340" s="2" t="s">
        <v>236</v>
      </c>
      <c r="E1340" s="18">
        <v>0</v>
      </c>
      <c r="F1340" s="18">
        <v>0</v>
      </c>
      <c r="G1340" s="18">
        <v>0</v>
      </c>
      <c r="H1340" s="18">
        <v>0</v>
      </c>
      <c r="I1340" s="18">
        <v>0</v>
      </c>
      <c r="J1340" s="18">
        <v>1</v>
      </c>
      <c r="K1340" s="18">
        <v>0</v>
      </c>
      <c r="T1340" s="3">
        <f t="shared" si="24"/>
        <v>1</v>
      </c>
      <c r="U1340" s="3">
        <v>5</v>
      </c>
      <c r="V1340" s="3">
        <v>2</v>
      </c>
      <c r="X1340" s="2" t="s">
        <v>1967</v>
      </c>
      <c r="Y1340" s="18">
        <v>1</v>
      </c>
      <c r="Z1340" s="18">
        <v>1</v>
      </c>
      <c r="AA1340" s="18">
        <v>1</v>
      </c>
      <c r="AB1340" s="18">
        <v>0</v>
      </c>
      <c r="AC1340" s="18">
        <v>1</v>
      </c>
      <c r="AD1340" s="18">
        <v>2</v>
      </c>
      <c r="AE1340" s="18" t="s">
        <v>162</v>
      </c>
      <c r="AN1340" s="3">
        <f t="shared" si="25"/>
        <v>6</v>
      </c>
      <c r="AO1340" s="3">
        <v>11</v>
      </c>
      <c r="AP1340" s="3">
        <v>1</v>
      </c>
      <c r="AR1340" s="2" t="s">
        <v>1976</v>
      </c>
    </row>
    <row r="1341" spans="1:44" ht="12.75" customHeight="1">
      <c r="A1341" s="5">
        <v>40668</v>
      </c>
      <c r="B1341" s="2" t="s">
        <v>152</v>
      </c>
      <c r="C1341" s="2" t="s">
        <v>183</v>
      </c>
      <c r="E1341" s="18">
        <v>0</v>
      </c>
      <c r="F1341" s="18">
        <v>4</v>
      </c>
      <c r="G1341" s="18">
        <v>0</v>
      </c>
      <c r="H1341" s="18">
        <v>2</v>
      </c>
      <c r="I1341" s="18">
        <v>0</v>
      </c>
      <c r="J1341" s="18">
        <v>0</v>
      </c>
      <c r="K1341" s="18">
        <v>2</v>
      </c>
      <c r="T1341" s="3">
        <f t="shared" si="24"/>
        <v>8</v>
      </c>
      <c r="U1341" s="3">
        <v>8</v>
      </c>
      <c r="V1341" s="3">
        <v>1</v>
      </c>
      <c r="X1341" s="2" t="s">
        <v>1974</v>
      </c>
      <c r="Y1341" s="18">
        <v>5</v>
      </c>
      <c r="Z1341" s="18">
        <v>2</v>
      </c>
      <c r="AA1341" s="18">
        <v>1</v>
      </c>
      <c r="AB1341" s="18">
        <v>3</v>
      </c>
      <c r="AC1341" s="18">
        <v>0</v>
      </c>
      <c r="AD1341" s="18">
        <v>2</v>
      </c>
      <c r="AE1341" s="18" t="s">
        <v>162</v>
      </c>
      <c r="AN1341" s="3">
        <f t="shared" si="25"/>
        <v>13</v>
      </c>
      <c r="AO1341" s="3">
        <v>11</v>
      </c>
      <c r="AP1341" s="3">
        <v>3</v>
      </c>
      <c r="AR1341" s="2" t="s">
        <v>1975</v>
      </c>
    </row>
    <row r="1342" spans="1:44" ht="12.75" customHeight="1">
      <c r="A1342" s="5">
        <v>40669</v>
      </c>
      <c r="B1342" s="2" t="s">
        <v>152</v>
      </c>
      <c r="C1342" s="2" t="s">
        <v>1973</v>
      </c>
      <c r="E1342" s="18">
        <v>9</v>
      </c>
      <c r="F1342" s="18">
        <v>6</v>
      </c>
      <c r="G1342" s="18">
        <v>0</v>
      </c>
      <c r="T1342" s="3">
        <f t="shared" si="24"/>
        <v>15</v>
      </c>
      <c r="U1342" s="3">
        <v>12</v>
      </c>
      <c r="V1342" s="3">
        <v>0</v>
      </c>
      <c r="X1342" s="2" t="s">
        <v>773</v>
      </c>
      <c r="Y1342" s="18">
        <v>0</v>
      </c>
      <c r="Z1342" s="18">
        <v>0</v>
      </c>
      <c r="AA1342" s="18">
        <v>0</v>
      </c>
      <c r="AN1342" s="3">
        <f t="shared" si="25"/>
        <v>0</v>
      </c>
      <c r="AO1342" s="3">
        <v>3</v>
      </c>
      <c r="AP1342" s="3">
        <v>3</v>
      </c>
      <c r="AR1342" s="2" t="s">
        <v>1978</v>
      </c>
    </row>
    <row r="1343" spans="1:44" ht="12.75" customHeight="1">
      <c r="A1343" s="5">
        <v>40670</v>
      </c>
      <c r="C1343" s="2" t="s">
        <v>236</v>
      </c>
      <c r="E1343" s="18">
        <v>1</v>
      </c>
      <c r="F1343" s="18">
        <v>0</v>
      </c>
      <c r="G1343" s="18">
        <v>2</v>
      </c>
      <c r="H1343" s="18">
        <v>2</v>
      </c>
      <c r="I1343" s="18">
        <v>0</v>
      </c>
      <c r="J1343" s="18">
        <v>1</v>
      </c>
      <c r="K1343" s="18">
        <v>3</v>
      </c>
      <c r="T1343" s="3">
        <f t="shared" si="24"/>
        <v>9</v>
      </c>
      <c r="U1343" s="3">
        <v>9</v>
      </c>
      <c r="V1343" s="3">
        <v>3</v>
      </c>
      <c r="X1343" s="2" t="s">
        <v>1979</v>
      </c>
      <c r="Y1343" s="18">
        <v>11</v>
      </c>
      <c r="Z1343" s="18">
        <v>1</v>
      </c>
      <c r="AA1343" s="18">
        <v>0</v>
      </c>
      <c r="AB1343" s="18">
        <v>0</v>
      </c>
      <c r="AC1343" s="18">
        <v>0</v>
      </c>
      <c r="AD1343" s="18">
        <v>0</v>
      </c>
      <c r="AE1343" s="18">
        <v>8</v>
      </c>
      <c r="AN1343" s="3">
        <f t="shared" si="25"/>
        <v>20</v>
      </c>
      <c r="AO1343" s="3">
        <v>16</v>
      </c>
      <c r="AP1343" s="3">
        <v>4</v>
      </c>
      <c r="AR1343" s="2" t="s">
        <v>1980</v>
      </c>
    </row>
    <row r="1344" spans="1:44" ht="12.75" customHeight="1">
      <c r="A1344" s="5">
        <v>40672</v>
      </c>
      <c r="C1344" s="2" t="s">
        <v>2213</v>
      </c>
      <c r="E1344" s="18">
        <v>0</v>
      </c>
      <c r="F1344" s="18">
        <v>0</v>
      </c>
      <c r="G1344" s="18">
        <v>0</v>
      </c>
      <c r="H1344" s="18">
        <v>0</v>
      </c>
      <c r="I1344" s="18">
        <v>5</v>
      </c>
      <c r="J1344" s="18">
        <v>0</v>
      </c>
      <c r="T1344" s="3">
        <f t="shared" si="24"/>
        <v>5</v>
      </c>
      <c r="U1344" s="3">
        <v>6</v>
      </c>
      <c r="V1344" s="3">
        <v>7</v>
      </c>
      <c r="X1344" s="2" t="s">
        <v>1474</v>
      </c>
      <c r="Y1344" s="18">
        <v>1</v>
      </c>
      <c r="Z1344" s="18">
        <v>1</v>
      </c>
      <c r="AA1344" s="18">
        <v>3</v>
      </c>
      <c r="AB1344" s="18">
        <v>2</v>
      </c>
      <c r="AC1344" s="18">
        <v>2</v>
      </c>
      <c r="AD1344" s="18">
        <v>7</v>
      </c>
      <c r="AN1344" s="3">
        <f t="shared" si="25"/>
        <v>16</v>
      </c>
      <c r="AO1344" s="3">
        <v>18</v>
      </c>
      <c r="AP1344" s="3">
        <v>0</v>
      </c>
      <c r="AR1344" s="2" t="s">
        <v>1981</v>
      </c>
    </row>
    <row r="1345" spans="1:44" ht="12.75" customHeight="1">
      <c r="A1345" s="5">
        <v>40673</v>
      </c>
      <c r="C1345" s="2" t="s">
        <v>137</v>
      </c>
      <c r="E1345" s="18">
        <v>3</v>
      </c>
      <c r="F1345" s="18">
        <v>0</v>
      </c>
      <c r="G1345" s="18">
        <v>0</v>
      </c>
      <c r="H1345" s="18">
        <v>1</v>
      </c>
      <c r="I1345" s="18">
        <v>7</v>
      </c>
      <c r="J1345" s="18">
        <v>0</v>
      </c>
      <c r="K1345" s="18" t="s">
        <v>162</v>
      </c>
      <c r="T1345" s="3">
        <f t="shared" si="24"/>
        <v>11</v>
      </c>
      <c r="U1345" s="3">
        <v>9</v>
      </c>
      <c r="V1345" s="3">
        <v>3</v>
      </c>
      <c r="X1345" s="2" t="s">
        <v>1982</v>
      </c>
      <c r="Y1345" s="18">
        <v>2</v>
      </c>
      <c r="Z1345" s="18">
        <v>0</v>
      </c>
      <c r="AA1345" s="18">
        <v>0</v>
      </c>
      <c r="AB1345" s="18">
        <v>0</v>
      </c>
      <c r="AC1345" s="18">
        <v>0</v>
      </c>
      <c r="AD1345" s="18">
        <v>0</v>
      </c>
      <c r="AE1345" s="18">
        <v>1</v>
      </c>
      <c r="AN1345" s="3">
        <f t="shared" si="25"/>
        <v>3</v>
      </c>
      <c r="AO1345" s="3">
        <v>6</v>
      </c>
      <c r="AP1345" s="3">
        <v>3</v>
      </c>
      <c r="AR1345" s="2" t="s">
        <v>1983</v>
      </c>
    </row>
    <row r="1346" spans="1:44" ht="12.75" customHeight="1">
      <c r="A1346" s="5">
        <v>40674</v>
      </c>
      <c r="B1346" s="2" t="s">
        <v>152</v>
      </c>
      <c r="C1346" s="2" t="s">
        <v>943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1</v>
      </c>
      <c r="T1346" s="3">
        <f t="shared" si="24"/>
        <v>1</v>
      </c>
      <c r="U1346" s="3">
        <v>3</v>
      </c>
      <c r="V1346" s="3">
        <v>2</v>
      </c>
      <c r="X1346" s="2" t="s">
        <v>1984</v>
      </c>
      <c r="Y1346" s="18">
        <v>0</v>
      </c>
      <c r="Z1346" s="18">
        <v>0</v>
      </c>
      <c r="AA1346" s="18">
        <v>1</v>
      </c>
      <c r="AB1346" s="18">
        <v>1</v>
      </c>
      <c r="AC1346" s="18">
        <v>1</v>
      </c>
      <c r="AD1346" s="18">
        <v>0</v>
      </c>
      <c r="AE1346" s="18" t="s">
        <v>162</v>
      </c>
      <c r="AN1346" s="3">
        <f t="shared" si="25"/>
        <v>3</v>
      </c>
      <c r="AO1346" s="3">
        <v>2</v>
      </c>
      <c r="AP1346" s="3">
        <v>0</v>
      </c>
      <c r="AR1346" s="2" t="s">
        <v>1985</v>
      </c>
    </row>
    <row r="1347" spans="1:44" ht="12.75" customHeight="1">
      <c r="A1347" s="5">
        <v>40675</v>
      </c>
      <c r="B1347" s="2" t="s">
        <v>152</v>
      </c>
      <c r="C1347" s="2" t="s">
        <v>305</v>
      </c>
      <c r="E1347" s="18">
        <v>5</v>
      </c>
      <c r="F1347" s="18">
        <v>2</v>
      </c>
      <c r="G1347" s="18">
        <v>0</v>
      </c>
      <c r="H1347" s="18">
        <v>0</v>
      </c>
      <c r="I1347" s="18">
        <v>0</v>
      </c>
      <c r="J1347" s="18">
        <v>6</v>
      </c>
      <c r="T1347" s="3">
        <f>SUM(E1347:S1347)</f>
        <v>13</v>
      </c>
      <c r="U1347" s="3">
        <v>13</v>
      </c>
      <c r="V1347" s="3">
        <v>0</v>
      </c>
      <c r="X1347" s="2" t="s">
        <v>1967</v>
      </c>
      <c r="Y1347" s="18">
        <v>0</v>
      </c>
      <c r="Z1347" s="18">
        <v>0</v>
      </c>
      <c r="AA1347" s="18">
        <v>0</v>
      </c>
      <c r="AB1347" s="18">
        <v>0</v>
      </c>
      <c r="AC1347" s="18">
        <v>0</v>
      </c>
      <c r="AD1347" s="18">
        <v>0</v>
      </c>
      <c r="AN1347" s="3">
        <f>SUM(Y1347:AM1347)</f>
        <v>0</v>
      </c>
      <c r="AO1347" s="3">
        <v>7</v>
      </c>
      <c r="AP1347" s="3">
        <v>0</v>
      </c>
      <c r="AR1347" s="2" t="s">
        <v>1986</v>
      </c>
    </row>
    <row r="1348" spans="1:44" ht="12.75" customHeight="1">
      <c r="A1348" s="5">
        <v>40684</v>
      </c>
      <c r="B1348" s="2" t="s">
        <v>152</v>
      </c>
      <c r="C1348" s="2" t="s">
        <v>138</v>
      </c>
      <c r="E1348" s="18">
        <v>3</v>
      </c>
      <c r="F1348" s="18">
        <v>1</v>
      </c>
      <c r="G1348" s="18">
        <v>1</v>
      </c>
      <c r="H1348" s="18">
        <v>2</v>
      </c>
      <c r="I1348" s="18">
        <v>0</v>
      </c>
      <c r="J1348" s="18">
        <v>1</v>
      </c>
      <c r="K1348" s="18">
        <v>3</v>
      </c>
      <c r="T1348" s="3">
        <f t="shared" si="24"/>
        <v>11</v>
      </c>
      <c r="U1348" s="3">
        <v>11</v>
      </c>
      <c r="V1348" s="3">
        <v>2</v>
      </c>
      <c r="X1348" s="2" t="s">
        <v>1987</v>
      </c>
      <c r="Y1348" s="18">
        <v>2</v>
      </c>
      <c r="Z1348" s="18">
        <v>1</v>
      </c>
      <c r="AA1348" s="18">
        <v>1</v>
      </c>
      <c r="AB1348" s="18">
        <v>0</v>
      </c>
      <c r="AC1348" s="18">
        <v>0</v>
      </c>
      <c r="AD1348" s="18">
        <v>2</v>
      </c>
      <c r="AE1348" s="18">
        <v>3</v>
      </c>
      <c r="AN1348" s="3">
        <f t="shared" si="25"/>
        <v>9</v>
      </c>
      <c r="AO1348" s="3">
        <v>11</v>
      </c>
      <c r="AP1348" s="3">
        <v>3</v>
      </c>
      <c r="AR1348" s="2" t="s">
        <v>1988</v>
      </c>
    </row>
    <row r="1349" spans="1:44" ht="12.75" customHeight="1">
      <c r="A1349" s="5">
        <v>40688</v>
      </c>
      <c r="B1349" s="2" t="s">
        <v>152</v>
      </c>
      <c r="C1349" s="2" t="s">
        <v>367</v>
      </c>
      <c r="D1349" s="2" t="s">
        <v>258</v>
      </c>
      <c r="E1349" s="18">
        <v>2</v>
      </c>
      <c r="F1349" s="18">
        <v>0</v>
      </c>
      <c r="G1349" s="18">
        <v>0</v>
      </c>
      <c r="H1349" s="18">
        <v>0</v>
      </c>
      <c r="I1349" s="18">
        <v>1</v>
      </c>
      <c r="J1349" s="18">
        <v>0</v>
      </c>
      <c r="K1349" s="18">
        <v>0</v>
      </c>
      <c r="T1349" s="3">
        <f>SUM(E1349:S1349)</f>
        <v>3</v>
      </c>
      <c r="U1349" s="3">
        <v>4</v>
      </c>
      <c r="V1349" s="3">
        <v>4</v>
      </c>
      <c r="X1349" s="2" t="s">
        <v>776</v>
      </c>
      <c r="Y1349" s="18">
        <v>1</v>
      </c>
      <c r="Z1349" s="18">
        <v>0</v>
      </c>
      <c r="AA1349" s="18">
        <v>2</v>
      </c>
      <c r="AB1349" s="18">
        <v>5</v>
      </c>
      <c r="AC1349" s="18">
        <v>0</v>
      </c>
      <c r="AD1349" s="18">
        <v>0</v>
      </c>
      <c r="AE1349" s="18" t="s">
        <v>162</v>
      </c>
      <c r="AN1349" s="3">
        <f>SUM(Y1349:AM1349)</f>
        <v>8</v>
      </c>
      <c r="AO1349" s="3">
        <v>10</v>
      </c>
      <c r="AP1349" s="3">
        <v>2</v>
      </c>
      <c r="AR1349" s="2" t="s">
        <v>1989</v>
      </c>
    </row>
    <row r="1350" ht="12.75" customHeight="1"/>
    <row r="1351" spans="1:45" ht="12.75" customHeight="1">
      <c r="A1351" s="5">
        <v>40991</v>
      </c>
      <c r="B1351" s="2" t="s">
        <v>152</v>
      </c>
      <c r="C1351" s="2" t="s">
        <v>932</v>
      </c>
      <c r="E1351" s="18">
        <v>0</v>
      </c>
      <c r="F1351" s="18">
        <v>0</v>
      </c>
      <c r="G1351" s="18">
        <v>4</v>
      </c>
      <c r="H1351" s="18">
        <v>0</v>
      </c>
      <c r="I1351" s="18">
        <v>1</v>
      </c>
      <c r="J1351" s="18">
        <v>0</v>
      </c>
      <c r="K1351" s="18">
        <v>4</v>
      </c>
      <c r="T1351" s="3">
        <f aca="true" t="shared" si="26" ref="T1351:T1359">SUM(E1351:S1351)</f>
        <v>9</v>
      </c>
      <c r="U1351" s="3">
        <v>7</v>
      </c>
      <c r="V1351" s="3">
        <v>2</v>
      </c>
      <c r="X1351" s="2" t="s">
        <v>2016</v>
      </c>
      <c r="Y1351" s="18">
        <v>2</v>
      </c>
      <c r="Z1351" s="18">
        <v>5</v>
      </c>
      <c r="AA1351" s="18">
        <v>0</v>
      </c>
      <c r="AB1351" s="18">
        <v>1</v>
      </c>
      <c r="AC1351" s="18">
        <v>1</v>
      </c>
      <c r="AD1351" s="18">
        <v>0</v>
      </c>
      <c r="AE1351" s="18">
        <v>1</v>
      </c>
      <c r="AN1351" s="3">
        <f aca="true" t="shared" si="27" ref="AN1351:AN1359">SUM(Y1351:AM1351)</f>
        <v>10</v>
      </c>
      <c r="AO1351" s="3">
        <v>14</v>
      </c>
      <c r="AP1351" s="3">
        <v>2</v>
      </c>
      <c r="AR1351" s="2" t="s">
        <v>2021</v>
      </c>
      <c r="AS1351" s="2" t="s">
        <v>1848</v>
      </c>
    </row>
    <row r="1352" spans="1:46" ht="12.75" customHeight="1">
      <c r="A1352" s="5">
        <v>40995</v>
      </c>
      <c r="C1352" s="2" t="s">
        <v>174</v>
      </c>
      <c r="E1352" s="18">
        <v>0</v>
      </c>
      <c r="F1352" s="18">
        <v>0</v>
      </c>
      <c r="G1352" s="18">
        <v>0</v>
      </c>
      <c r="H1352" s="18">
        <v>0</v>
      </c>
      <c r="I1352" s="18">
        <v>7</v>
      </c>
      <c r="J1352" s="18">
        <v>5</v>
      </c>
      <c r="K1352" s="18">
        <v>1</v>
      </c>
      <c r="T1352" s="3">
        <f t="shared" si="26"/>
        <v>13</v>
      </c>
      <c r="U1352" s="3">
        <v>13</v>
      </c>
      <c r="V1352" s="3">
        <v>2</v>
      </c>
      <c r="X1352" s="2" t="s">
        <v>2017</v>
      </c>
      <c r="Y1352" s="18">
        <v>0</v>
      </c>
      <c r="Z1352" s="18">
        <v>1</v>
      </c>
      <c r="AA1352" s="18">
        <v>0</v>
      </c>
      <c r="AB1352" s="18">
        <v>3</v>
      </c>
      <c r="AC1352" s="18">
        <v>8</v>
      </c>
      <c r="AD1352" s="18">
        <v>0</v>
      </c>
      <c r="AE1352" s="18">
        <v>3</v>
      </c>
      <c r="AN1352" s="3">
        <f t="shared" si="27"/>
        <v>15</v>
      </c>
      <c r="AO1352" s="3">
        <v>19</v>
      </c>
      <c r="AP1352" s="3">
        <v>2</v>
      </c>
      <c r="AR1352" s="2" t="s">
        <v>2022</v>
      </c>
      <c r="AS1352" s="2" t="s">
        <v>2325</v>
      </c>
      <c r="AT1352" s="2">
        <v>13</v>
      </c>
    </row>
    <row r="1353" spans="1:44" ht="12.75" customHeight="1">
      <c r="A1353" s="5">
        <v>40998</v>
      </c>
      <c r="C1353" s="2" t="s">
        <v>379</v>
      </c>
      <c r="E1353" s="18">
        <v>0</v>
      </c>
      <c r="F1353" s="18">
        <v>0</v>
      </c>
      <c r="G1353" s="18">
        <v>1</v>
      </c>
      <c r="H1353" s="18">
        <v>0</v>
      </c>
      <c r="I1353" s="18">
        <v>0</v>
      </c>
      <c r="J1353" s="18">
        <v>2</v>
      </c>
      <c r="K1353" s="18" t="s">
        <v>162</v>
      </c>
      <c r="T1353" s="3">
        <f t="shared" si="26"/>
        <v>3</v>
      </c>
      <c r="U1353" s="3">
        <v>7</v>
      </c>
      <c r="V1353" s="3">
        <v>1</v>
      </c>
      <c r="X1353" s="2" t="s">
        <v>2018</v>
      </c>
      <c r="Y1353" s="18">
        <v>0</v>
      </c>
      <c r="Z1353" s="18">
        <v>0</v>
      </c>
      <c r="AA1353" s="18">
        <v>0</v>
      </c>
      <c r="AB1353" s="18">
        <v>0</v>
      </c>
      <c r="AC1353" s="18">
        <v>0</v>
      </c>
      <c r="AD1353" s="18">
        <v>0</v>
      </c>
      <c r="AE1353" s="18">
        <v>1</v>
      </c>
      <c r="AN1353" s="3">
        <f t="shared" si="27"/>
        <v>1</v>
      </c>
      <c r="AO1353" s="3">
        <v>4</v>
      </c>
      <c r="AP1353" s="3">
        <v>1</v>
      </c>
      <c r="AR1353" s="2" t="s">
        <v>2023</v>
      </c>
    </row>
    <row r="1354" spans="1:44" ht="12.75" customHeight="1">
      <c r="A1354" s="5">
        <v>41001</v>
      </c>
      <c r="B1354" s="2" t="s">
        <v>152</v>
      </c>
      <c r="C1354" s="2" t="s">
        <v>183</v>
      </c>
      <c r="E1354" s="18">
        <v>0</v>
      </c>
      <c r="F1354" s="18">
        <v>0</v>
      </c>
      <c r="G1354" s="18">
        <v>3</v>
      </c>
      <c r="H1354" s="18">
        <v>3</v>
      </c>
      <c r="I1354" s="18">
        <v>0</v>
      </c>
      <c r="J1354" s="18">
        <v>0</v>
      </c>
      <c r="K1354" s="18">
        <v>0</v>
      </c>
      <c r="T1354" s="3">
        <f t="shared" si="26"/>
        <v>6</v>
      </c>
      <c r="U1354" s="3">
        <v>7</v>
      </c>
      <c r="V1354" s="3">
        <v>3</v>
      </c>
      <c r="X1354" s="2" t="s">
        <v>2019</v>
      </c>
      <c r="Y1354" s="18">
        <v>2</v>
      </c>
      <c r="Z1354" s="18">
        <v>2</v>
      </c>
      <c r="AA1354" s="18">
        <v>4</v>
      </c>
      <c r="AB1354" s="18">
        <v>2</v>
      </c>
      <c r="AC1354" s="18">
        <v>0</v>
      </c>
      <c r="AD1354" s="18">
        <v>2</v>
      </c>
      <c r="AE1354" s="18" t="s">
        <v>162</v>
      </c>
      <c r="AN1354" s="3">
        <f t="shared" si="27"/>
        <v>12</v>
      </c>
      <c r="AO1354" s="3">
        <v>12</v>
      </c>
      <c r="AP1354" s="3">
        <v>1</v>
      </c>
      <c r="AR1354" s="2" t="s">
        <v>2024</v>
      </c>
    </row>
    <row r="1355" spans="1:44" ht="12.75" customHeight="1">
      <c r="A1355" s="5">
        <v>41003</v>
      </c>
      <c r="C1355" s="2" t="s">
        <v>305</v>
      </c>
      <c r="E1355" s="18">
        <v>2</v>
      </c>
      <c r="F1355" s="18">
        <v>0</v>
      </c>
      <c r="G1355" s="18">
        <v>0</v>
      </c>
      <c r="H1355" s="18">
        <v>0</v>
      </c>
      <c r="I1355" s="18">
        <v>8</v>
      </c>
      <c r="J1355" s="18">
        <v>8</v>
      </c>
      <c r="K1355" s="18" t="s">
        <v>162</v>
      </c>
      <c r="T1355" s="3">
        <f t="shared" si="26"/>
        <v>18</v>
      </c>
      <c r="U1355" s="3">
        <v>14</v>
      </c>
      <c r="V1355" s="3">
        <v>6</v>
      </c>
      <c r="X1355" s="2" t="s">
        <v>2020</v>
      </c>
      <c r="Y1355" s="18">
        <v>1</v>
      </c>
      <c r="Z1355" s="18">
        <v>6</v>
      </c>
      <c r="AA1355" s="18">
        <v>5</v>
      </c>
      <c r="AB1355" s="18">
        <v>1</v>
      </c>
      <c r="AC1355" s="18">
        <v>0</v>
      </c>
      <c r="AD1355" s="18">
        <v>0</v>
      </c>
      <c r="AE1355" s="18">
        <v>1</v>
      </c>
      <c r="AN1355" s="3">
        <f t="shared" si="27"/>
        <v>14</v>
      </c>
      <c r="AO1355" s="3">
        <v>16</v>
      </c>
      <c r="AP1355" s="3">
        <v>5</v>
      </c>
      <c r="AR1355" s="2" t="s">
        <v>2025</v>
      </c>
    </row>
    <row r="1356" spans="1:44" ht="12.75" customHeight="1">
      <c r="A1356" s="5">
        <v>41008</v>
      </c>
      <c r="C1356" s="2" t="s">
        <v>943</v>
      </c>
      <c r="E1356" s="18">
        <v>1</v>
      </c>
      <c r="F1356" s="18">
        <v>2</v>
      </c>
      <c r="G1356" s="18">
        <v>0</v>
      </c>
      <c r="H1356" s="18">
        <v>5</v>
      </c>
      <c r="I1356" s="18">
        <v>5</v>
      </c>
      <c r="J1356" s="18">
        <v>0</v>
      </c>
      <c r="K1356" s="18">
        <v>0</v>
      </c>
      <c r="T1356" s="3">
        <f t="shared" si="26"/>
        <v>13</v>
      </c>
      <c r="U1356" s="3">
        <v>9</v>
      </c>
      <c r="V1356" s="3">
        <v>7</v>
      </c>
      <c r="X1356" s="2" t="s">
        <v>2020</v>
      </c>
      <c r="Y1356" s="18">
        <v>2</v>
      </c>
      <c r="Z1356" s="18">
        <v>3</v>
      </c>
      <c r="AA1356" s="18">
        <v>3</v>
      </c>
      <c r="AB1356" s="18">
        <v>3</v>
      </c>
      <c r="AC1356" s="18">
        <v>4</v>
      </c>
      <c r="AD1356" s="18">
        <v>0</v>
      </c>
      <c r="AE1356" s="18">
        <v>1</v>
      </c>
      <c r="AN1356" s="3">
        <f t="shared" si="27"/>
        <v>16</v>
      </c>
      <c r="AO1356" s="3">
        <v>17</v>
      </c>
      <c r="AP1356" s="3">
        <v>2</v>
      </c>
      <c r="AR1356" s="2" t="s">
        <v>2046</v>
      </c>
    </row>
    <row r="1357" spans="1:44" ht="12.75" customHeight="1">
      <c r="A1357" s="5">
        <v>41010</v>
      </c>
      <c r="B1357" s="2" t="s">
        <v>152</v>
      </c>
      <c r="C1357" s="2" t="s">
        <v>297</v>
      </c>
      <c r="E1357" s="18">
        <v>0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T1357" s="3">
        <f t="shared" si="26"/>
        <v>0</v>
      </c>
      <c r="U1357" s="3">
        <v>3</v>
      </c>
      <c r="V1357" s="3">
        <v>2</v>
      </c>
      <c r="X1357" s="2" t="s">
        <v>2033</v>
      </c>
      <c r="Y1357" s="18">
        <v>1</v>
      </c>
      <c r="Z1357" s="18">
        <v>1</v>
      </c>
      <c r="AA1357" s="18">
        <v>0</v>
      </c>
      <c r="AB1357" s="18">
        <v>1</v>
      </c>
      <c r="AC1357" s="18">
        <v>0</v>
      </c>
      <c r="AD1357" s="18">
        <v>0</v>
      </c>
      <c r="AE1357" s="18" t="s">
        <v>162</v>
      </c>
      <c r="AN1357" s="3">
        <f t="shared" si="27"/>
        <v>3</v>
      </c>
      <c r="AO1357" s="3">
        <v>4</v>
      </c>
      <c r="AP1357" s="3">
        <v>0</v>
      </c>
      <c r="AR1357" s="2" t="s">
        <v>2045</v>
      </c>
    </row>
    <row r="1358" spans="1:44" ht="12.75" customHeight="1">
      <c r="A1358" s="5">
        <v>41012</v>
      </c>
      <c r="B1358" s="2" t="s">
        <v>152</v>
      </c>
      <c r="C1358" s="2" t="s">
        <v>236</v>
      </c>
      <c r="E1358" s="18">
        <v>0</v>
      </c>
      <c r="F1358" s="18">
        <v>0</v>
      </c>
      <c r="G1358" s="18">
        <v>0</v>
      </c>
      <c r="H1358" s="18">
        <v>0</v>
      </c>
      <c r="I1358" s="18">
        <v>8</v>
      </c>
      <c r="J1358" s="18">
        <v>0</v>
      </c>
      <c r="K1358" s="18">
        <v>0</v>
      </c>
      <c r="T1358" s="3">
        <f t="shared" si="26"/>
        <v>8</v>
      </c>
      <c r="U1358" s="3">
        <v>7</v>
      </c>
      <c r="V1358" s="3">
        <v>5</v>
      </c>
      <c r="X1358" s="2" t="s">
        <v>2043</v>
      </c>
      <c r="Y1358" s="18">
        <v>4</v>
      </c>
      <c r="Z1358" s="18">
        <v>5</v>
      </c>
      <c r="AA1358" s="18">
        <v>0</v>
      </c>
      <c r="AB1358" s="18">
        <v>2</v>
      </c>
      <c r="AC1358" s="18">
        <v>0</v>
      </c>
      <c r="AD1358" s="18">
        <v>1</v>
      </c>
      <c r="AE1358" s="18" t="s">
        <v>162</v>
      </c>
      <c r="AN1358" s="3">
        <f t="shared" si="27"/>
        <v>12</v>
      </c>
      <c r="AO1358" s="3">
        <v>13</v>
      </c>
      <c r="AP1358" s="3">
        <v>1</v>
      </c>
      <c r="AR1358" s="2" t="s">
        <v>2044</v>
      </c>
    </row>
    <row r="1359" spans="1:44" ht="12.75" customHeight="1">
      <c r="A1359" s="5">
        <v>41015</v>
      </c>
      <c r="C1359" s="2" t="s">
        <v>2213</v>
      </c>
      <c r="E1359" s="18">
        <v>0</v>
      </c>
      <c r="F1359" s="18">
        <v>0</v>
      </c>
      <c r="G1359" s="18">
        <v>1</v>
      </c>
      <c r="H1359" s="18">
        <v>0</v>
      </c>
      <c r="I1359" s="18">
        <v>0</v>
      </c>
      <c r="J1359" s="18">
        <v>1</v>
      </c>
      <c r="K1359" s="18">
        <v>1</v>
      </c>
      <c r="T1359" s="3">
        <f t="shared" si="26"/>
        <v>3</v>
      </c>
      <c r="U1359" s="3">
        <v>6</v>
      </c>
      <c r="V1359" s="3">
        <v>3</v>
      </c>
      <c r="X1359" s="2" t="s">
        <v>2041</v>
      </c>
      <c r="Y1359" s="18">
        <v>0</v>
      </c>
      <c r="Z1359" s="18">
        <v>3</v>
      </c>
      <c r="AA1359" s="18">
        <v>0</v>
      </c>
      <c r="AB1359" s="18">
        <v>6</v>
      </c>
      <c r="AC1359" s="18">
        <v>0</v>
      </c>
      <c r="AD1359" s="18">
        <v>0</v>
      </c>
      <c r="AE1359" s="18">
        <v>1</v>
      </c>
      <c r="AN1359" s="3">
        <f t="shared" si="27"/>
        <v>10</v>
      </c>
      <c r="AO1359" s="3">
        <v>13</v>
      </c>
      <c r="AP1359" s="3">
        <v>5</v>
      </c>
      <c r="AR1359" s="2" t="s">
        <v>2042</v>
      </c>
    </row>
    <row r="1360" spans="1:44" ht="12.75" customHeight="1">
      <c r="A1360" s="5">
        <v>41019</v>
      </c>
      <c r="B1360" s="2" t="s">
        <v>152</v>
      </c>
      <c r="C1360" s="2" t="s">
        <v>374</v>
      </c>
      <c r="E1360" s="18">
        <v>0</v>
      </c>
      <c r="F1360" s="18">
        <v>2</v>
      </c>
      <c r="G1360" s="18">
        <v>3</v>
      </c>
      <c r="H1360" s="18">
        <v>0</v>
      </c>
      <c r="I1360" s="18">
        <v>2</v>
      </c>
      <c r="J1360" s="18">
        <v>0</v>
      </c>
      <c r="K1360" s="18">
        <v>0</v>
      </c>
      <c r="T1360" s="3">
        <f aca="true" t="shared" si="28" ref="T1360:T1367">SUM(E1360:S1360)</f>
        <v>7</v>
      </c>
      <c r="U1360" s="3">
        <v>13</v>
      </c>
      <c r="V1360" s="3">
        <v>3</v>
      </c>
      <c r="X1360" s="2" t="s">
        <v>2039</v>
      </c>
      <c r="Y1360" s="18">
        <v>0</v>
      </c>
      <c r="Z1360" s="18">
        <v>0</v>
      </c>
      <c r="AA1360" s="18">
        <v>1</v>
      </c>
      <c r="AB1360" s="18">
        <v>0</v>
      </c>
      <c r="AC1360" s="18">
        <v>0</v>
      </c>
      <c r="AD1360" s="18">
        <v>0</v>
      </c>
      <c r="AE1360" s="18">
        <v>3</v>
      </c>
      <c r="AN1360" s="3">
        <f aca="true" t="shared" si="29" ref="AN1360:AN1367">SUM(Y1360:AM1360)</f>
        <v>4</v>
      </c>
      <c r="AO1360" s="3">
        <v>8</v>
      </c>
      <c r="AP1360" s="3">
        <v>1</v>
      </c>
      <c r="AR1360" s="2" t="s">
        <v>2040</v>
      </c>
    </row>
    <row r="1361" spans="1:44" ht="12.75" customHeight="1">
      <c r="A1361" s="5">
        <v>41024</v>
      </c>
      <c r="B1361" s="2" t="s">
        <v>152</v>
      </c>
      <c r="C1361" s="2" t="s">
        <v>305</v>
      </c>
      <c r="E1361" s="18">
        <v>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4</v>
      </c>
      <c r="T1361" s="3">
        <f t="shared" si="28"/>
        <v>4</v>
      </c>
      <c r="U1361" s="3">
        <v>3</v>
      </c>
      <c r="V1361" s="3">
        <v>3</v>
      </c>
      <c r="X1361" s="2" t="s">
        <v>2037</v>
      </c>
      <c r="Y1361" s="18">
        <v>2</v>
      </c>
      <c r="Z1361" s="18">
        <v>0</v>
      </c>
      <c r="AA1361" s="18">
        <v>1</v>
      </c>
      <c r="AB1361" s="18">
        <v>1</v>
      </c>
      <c r="AC1361" s="18">
        <v>0</v>
      </c>
      <c r="AD1361" s="18">
        <v>2</v>
      </c>
      <c r="AE1361" s="18" t="s">
        <v>162</v>
      </c>
      <c r="AN1361" s="3">
        <f t="shared" si="29"/>
        <v>6</v>
      </c>
      <c r="AO1361" s="3">
        <v>9</v>
      </c>
      <c r="AP1361" s="3">
        <v>1</v>
      </c>
      <c r="AR1361" s="2" t="s">
        <v>2038</v>
      </c>
    </row>
    <row r="1362" spans="1:44" ht="12.75" customHeight="1">
      <c r="A1362" s="5">
        <v>41026</v>
      </c>
      <c r="B1362" s="2" t="s">
        <v>152</v>
      </c>
      <c r="C1362" s="2" t="s">
        <v>943</v>
      </c>
      <c r="E1362" s="18">
        <v>0</v>
      </c>
      <c r="F1362" s="18">
        <v>5</v>
      </c>
      <c r="G1362" s="18">
        <v>6</v>
      </c>
      <c r="H1362" s="18">
        <v>0</v>
      </c>
      <c r="I1362" s="18">
        <v>0</v>
      </c>
      <c r="T1362" s="3">
        <f t="shared" si="28"/>
        <v>11</v>
      </c>
      <c r="U1362" s="3">
        <v>7</v>
      </c>
      <c r="V1362" s="3">
        <v>5</v>
      </c>
      <c r="X1362" s="2" t="s">
        <v>2035</v>
      </c>
      <c r="Y1362" s="18">
        <v>3</v>
      </c>
      <c r="Z1362" s="18">
        <v>4</v>
      </c>
      <c r="AA1362" s="18">
        <v>4</v>
      </c>
      <c r="AB1362" s="18">
        <v>0</v>
      </c>
      <c r="AC1362" s="18">
        <v>10</v>
      </c>
      <c r="AN1362" s="3">
        <f t="shared" si="29"/>
        <v>21</v>
      </c>
      <c r="AO1362" s="3">
        <v>14</v>
      </c>
      <c r="AP1362" s="3">
        <v>1</v>
      </c>
      <c r="AR1362" s="2" t="s">
        <v>2036</v>
      </c>
    </row>
    <row r="1363" spans="1:44" ht="12.75" customHeight="1">
      <c r="A1363" s="5">
        <v>41030</v>
      </c>
      <c r="C1363" s="2" t="s">
        <v>138</v>
      </c>
      <c r="E1363" s="18">
        <v>2</v>
      </c>
      <c r="F1363" s="18">
        <v>2</v>
      </c>
      <c r="G1363" s="18">
        <v>3</v>
      </c>
      <c r="H1363" s="18">
        <v>1</v>
      </c>
      <c r="I1363" s="18">
        <v>2</v>
      </c>
      <c r="J1363" s="18">
        <v>4</v>
      </c>
      <c r="T1363" s="3">
        <f t="shared" si="28"/>
        <v>14</v>
      </c>
      <c r="U1363" s="3">
        <v>13</v>
      </c>
      <c r="V1363" s="3">
        <v>0</v>
      </c>
      <c r="X1363" s="2" t="s">
        <v>2033</v>
      </c>
      <c r="Y1363" s="18">
        <v>1</v>
      </c>
      <c r="Z1363" s="18">
        <v>3</v>
      </c>
      <c r="AA1363" s="18">
        <v>0</v>
      </c>
      <c r="AB1363" s="18">
        <v>0</v>
      </c>
      <c r="AC1363" s="18">
        <v>0</v>
      </c>
      <c r="AD1363" s="18">
        <v>0</v>
      </c>
      <c r="AN1363" s="3">
        <f t="shared" si="29"/>
        <v>4</v>
      </c>
      <c r="AO1363" s="3">
        <v>11</v>
      </c>
      <c r="AP1363" s="3">
        <v>1</v>
      </c>
      <c r="AR1363" s="2" t="s">
        <v>2034</v>
      </c>
    </row>
    <row r="1364" spans="1:44" ht="12.75" customHeight="1">
      <c r="A1364" s="5">
        <v>41031</v>
      </c>
      <c r="C1364" s="2" t="s">
        <v>297</v>
      </c>
      <c r="E1364" s="18">
        <v>0</v>
      </c>
      <c r="F1364" s="18">
        <v>0</v>
      </c>
      <c r="G1364" s="18">
        <v>0</v>
      </c>
      <c r="H1364" s="18">
        <v>3</v>
      </c>
      <c r="I1364" s="18">
        <v>0</v>
      </c>
      <c r="T1364" s="3">
        <f t="shared" si="28"/>
        <v>3</v>
      </c>
      <c r="U1364" s="3">
        <v>4</v>
      </c>
      <c r="V1364" s="3">
        <v>4</v>
      </c>
      <c r="X1364" s="2" t="s">
        <v>2029</v>
      </c>
      <c r="Y1364" s="18">
        <v>2</v>
      </c>
      <c r="Z1364" s="18">
        <v>2</v>
      </c>
      <c r="AA1364" s="18">
        <v>0</v>
      </c>
      <c r="AB1364" s="18">
        <v>3</v>
      </c>
      <c r="AC1364" s="18">
        <v>6</v>
      </c>
      <c r="AN1364" s="3">
        <f t="shared" si="29"/>
        <v>13</v>
      </c>
      <c r="AO1364" s="3">
        <v>10</v>
      </c>
      <c r="AP1364" s="3">
        <v>1</v>
      </c>
      <c r="AR1364" s="2" t="s">
        <v>2032</v>
      </c>
    </row>
    <row r="1365" spans="1:44" ht="12.75" customHeight="1">
      <c r="A1365" s="5">
        <v>41038</v>
      </c>
      <c r="C1365" s="2" t="s">
        <v>367</v>
      </c>
      <c r="E1365" s="18">
        <v>0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T1365" s="3">
        <f t="shared" si="28"/>
        <v>0</v>
      </c>
      <c r="U1365" s="3">
        <v>4</v>
      </c>
      <c r="V1365" s="3">
        <v>2</v>
      </c>
      <c r="X1365" s="2" t="s">
        <v>2030</v>
      </c>
      <c r="Y1365" s="18">
        <v>3</v>
      </c>
      <c r="Z1365" s="18">
        <v>1</v>
      </c>
      <c r="AA1365" s="18">
        <v>0</v>
      </c>
      <c r="AB1365" s="18">
        <v>1</v>
      </c>
      <c r="AC1365" s="18">
        <v>0</v>
      </c>
      <c r="AD1365" s="18">
        <v>0</v>
      </c>
      <c r="AE1365" s="18">
        <v>1</v>
      </c>
      <c r="AN1365" s="3">
        <f t="shared" si="29"/>
        <v>6</v>
      </c>
      <c r="AO1365" s="3">
        <v>12</v>
      </c>
      <c r="AP1365" s="3">
        <v>0</v>
      </c>
      <c r="AR1365" s="2" t="s">
        <v>2031</v>
      </c>
    </row>
    <row r="1366" spans="1:44" ht="12.75" customHeight="1">
      <c r="A1366" s="5">
        <v>41039</v>
      </c>
      <c r="B1366" s="2" t="s">
        <v>152</v>
      </c>
      <c r="C1366" s="2" t="s">
        <v>191</v>
      </c>
      <c r="E1366" s="18">
        <v>0</v>
      </c>
      <c r="F1366" s="18">
        <v>1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T1366" s="3">
        <f t="shared" si="28"/>
        <v>1</v>
      </c>
      <c r="U1366" s="3">
        <v>4</v>
      </c>
      <c r="V1366" s="3">
        <v>0</v>
      </c>
      <c r="X1366" s="2" t="s">
        <v>2029</v>
      </c>
      <c r="Y1366" s="18">
        <v>2</v>
      </c>
      <c r="Z1366" s="18">
        <v>1</v>
      </c>
      <c r="AA1366" s="18">
        <v>0</v>
      </c>
      <c r="AB1366" s="18">
        <v>1</v>
      </c>
      <c r="AC1366" s="18">
        <v>1</v>
      </c>
      <c r="AD1366" s="18">
        <v>0</v>
      </c>
      <c r="AE1366" s="18" t="s">
        <v>162</v>
      </c>
      <c r="AN1366" s="3">
        <f t="shared" si="29"/>
        <v>5</v>
      </c>
      <c r="AO1366" s="3">
        <v>6</v>
      </c>
      <c r="AP1366" s="3">
        <v>0</v>
      </c>
      <c r="AR1366" s="2" t="s">
        <v>2028</v>
      </c>
    </row>
    <row r="1367" spans="1:44" ht="12.75" customHeight="1">
      <c r="A1367" s="5">
        <v>41040</v>
      </c>
      <c r="C1367" s="2" t="s">
        <v>236</v>
      </c>
      <c r="E1367" s="18">
        <v>0</v>
      </c>
      <c r="F1367" s="18">
        <v>0</v>
      </c>
      <c r="G1367" s="18">
        <v>0</v>
      </c>
      <c r="H1367" s="18">
        <v>0</v>
      </c>
      <c r="I1367" s="18">
        <v>0</v>
      </c>
      <c r="T1367" s="3">
        <f t="shared" si="28"/>
        <v>0</v>
      </c>
      <c r="U1367" s="3">
        <v>2</v>
      </c>
      <c r="V1367" s="3">
        <v>4</v>
      </c>
      <c r="X1367" s="2" t="s">
        <v>2026</v>
      </c>
      <c r="Y1367" s="18">
        <v>1</v>
      </c>
      <c r="Z1367" s="18">
        <v>2</v>
      </c>
      <c r="AA1367" s="18">
        <v>0</v>
      </c>
      <c r="AB1367" s="18">
        <v>3</v>
      </c>
      <c r="AC1367" s="18">
        <v>4</v>
      </c>
      <c r="AN1367" s="3">
        <f t="shared" si="29"/>
        <v>10</v>
      </c>
      <c r="AO1367" s="3">
        <v>9</v>
      </c>
      <c r="AP1367" s="3">
        <v>0</v>
      </c>
      <c r="AR1367" s="2" t="s">
        <v>2027</v>
      </c>
    </row>
    <row r="1368" ht="12.75" customHeight="1"/>
    <row r="1369" spans="1:45" ht="12.75" customHeight="1">
      <c r="A1369" s="5">
        <v>41363</v>
      </c>
      <c r="B1369" s="2" t="s">
        <v>152</v>
      </c>
      <c r="C1369" s="2" t="s">
        <v>305</v>
      </c>
      <c r="E1369" s="18">
        <v>0</v>
      </c>
      <c r="F1369" s="18">
        <v>0</v>
      </c>
      <c r="G1369" s="18">
        <v>4</v>
      </c>
      <c r="H1369" s="18">
        <v>9</v>
      </c>
      <c r="I1369" s="18">
        <v>0</v>
      </c>
      <c r="J1369" s="18">
        <v>1</v>
      </c>
      <c r="K1369" s="18">
        <v>4</v>
      </c>
      <c r="T1369" s="3">
        <f aca="true" t="shared" si="30" ref="T1369:T1385">SUM(E1369:S1369)</f>
        <v>18</v>
      </c>
      <c r="U1369" s="3">
        <v>11</v>
      </c>
      <c r="V1369" s="3">
        <v>3</v>
      </c>
      <c r="X1369" s="2" t="s">
        <v>2072</v>
      </c>
      <c r="Y1369" s="18">
        <v>0</v>
      </c>
      <c r="Z1369" s="18">
        <v>4</v>
      </c>
      <c r="AA1369" s="18">
        <v>1</v>
      </c>
      <c r="AB1369" s="18">
        <v>0</v>
      </c>
      <c r="AC1369" s="18">
        <v>0</v>
      </c>
      <c r="AD1369" s="18">
        <v>1</v>
      </c>
      <c r="AE1369" s="18">
        <v>1</v>
      </c>
      <c r="AN1369" s="3">
        <f aca="true" t="shared" si="31" ref="AN1369:AN1385">SUM(Y1369:AM1369)</f>
        <v>7</v>
      </c>
      <c r="AO1369" s="3">
        <v>8</v>
      </c>
      <c r="AP1369" s="3">
        <v>8</v>
      </c>
      <c r="AR1369" s="2" t="s">
        <v>2112</v>
      </c>
      <c r="AS1369" s="2" t="s">
        <v>1848</v>
      </c>
    </row>
    <row r="1370" spans="1:46" ht="12.75" customHeight="1">
      <c r="A1370" s="5">
        <v>41368</v>
      </c>
      <c r="B1370" s="2" t="s">
        <v>152</v>
      </c>
      <c r="C1370" s="2" t="s">
        <v>374</v>
      </c>
      <c r="E1370" s="18">
        <v>0</v>
      </c>
      <c r="F1370" s="18">
        <v>1</v>
      </c>
      <c r="G1370" s="18">
        <v>2</v>
      </c>
      <c r="H1370" s="18">
        <v>0</v>
      </c>
      <c r="I1370" s="18">
        <v>0</v>
      </c>
      <c r="J1370" s="18">
        <v>0</v>
      </c>
      <c r="K1370" s="18">
        <v>0</v>
      </c>
      <c r="T1370" s="3">
        <f t="shared" si="30"/>
        <v>3</v>
      </c>
      <c r="U1370" s="3">
        <v>9</v>
      </c>
      <c r="V1370" s="3">
        <v>2</v>
      </c>
      <c r="X1370" s="2" t="s">
        <v>2110</v>
      </c>
      <c r="Y1370" s="18">
        <v>0</v>
      </c>
      <c r="Z1370" s="18">
        <v>0</v>
      </c>
      <c r="AA1370" s="18">
        <v>4</v>
      </c>
      <c r="AB1370" s="18">
        <v>3</v>
      </c>
      <c r="AC1370" s="18">
        <v>0</v>
      </c>
      <c r="AD1370" s="18">
        <v>1</v>
      </c>
      <c r="AE1370" s="18" t="s">
        <v>162</v>
      </c>
      <c r="AN1370" s="3">
        <f t="shared" si="31"/>
        <v>8</v>
      </c>
      <c r="AO1370" s="3">
        <v>10</v>
      </c>
      <c r="AP1370" s="3">
        <v>3</v>
      </c>
      <c r="AR1370" s="2" t="s">
        <v>2111</v>
      </c>
      <c r="AS1370" s="2" t="s">
        <v>2324</v>
      </c>
      <c r="AT1370" s="2">
        <v>12</v>
      </c>
    </row>
    <row r="1371" spans="1:44" ht="12.75" customHeight="1">
      <c r="A1371" s="5">
        <v>41369</v>
      </c>
      <c r="B1371" s="2" t="s">
        <v>152</v>
      </c>
      <c r="C1371" s="2" t="s">
        <v>174</v>
      </c>
      <c r="E1371" s="18">
        <v>0</v>
      </c>
      <c r="F1371" s="18">
        <v>0</v>
      </c>
      <c r="G1371" s="18">
        <v>0</v>
      </c>
      <c r="H1371" s="18">
        <v>0</v>
      </c>
      <c r="I1371" s="18">
        <v>2</v>
      </c>
      <c r="J1371" s="18">
        <v>4</v>
      </c>
      <c r="K1371" s="18">
        <v>0</v>
      </c>
      <c r="T1371" s="3">
        <f t="shared" si="30"/>
        <v>6</v>
      </c>
      <c r="U1371" s="3">
        <v>9</v>
      </c>
      <c r="V1371" s="3">
        <v>5</v>
      </c>
      <c r="X1371" s="2" t="s">
        <v>2056</v>
      </c>
      <c r="Y1371" s="18">
        <v>1</v>
      </c>
      <c r="Z1371" s="18">
        <v>0</v>
      </c>
      <c r="AA1371" s="18">
        <v>0</v>
      </c>
      <c r="AB1371" s="18">
        <v>1</v>
      </c>
      <c r="AC1371" s="18">
        <v>2</v>
      </c>
      <c r="AD1371" s="18">
        <v>11</v>
      </c>
      <c r="AE1371" s="18" t="s">
        <v>162</v>
      </c>
      <c r="AN1371" s="3">
        <f t="shared" si="31"/>
        <v>15</v>
      </c>
      <c r="AO1371" s="3">
        <v>12</v>
      </c>
      <c r="AP1371" s="3">
        <v>0</v>
      </c>
      <c r="AR1371" s="2" t="s">
        <v>2057</v>
      </c>
    </row>
    <row r="1372" spans="1:44" ht="12.75" customHeight="1">
      <c r="A1372" s="5">
        <v>41372</v>
      </c>
      <c r="B1372" s="2" t="s">
        <v>152</v>
      </c>
      <c r="C1372" s="2" t="s">
        <v>297</v>
      </c>
      <c r="E1372" s="18">
        <v>0</v>
      </c>
      <c r="F1372" s="18">
        <v>0</v>
      </c>
      <c r="G1372" s="18">
        <v>3</v>
      </c>
      <c r="H1372" s="18">
        <v>0</v>
      </c>
      <c r="I1372" s="18">
        <v>0</v>
      </c>
      <c r="J1372" s="18">
        <v>1</v>
      </c>
      <c r="K1372" s="18">
        <v>0</v>
      </c>
      <c r="T1372" s="3">
        <f t="shared" si="30"/>
        <v>4</v>
      </c>
      <c r="U1372" s="3">
        <v>3</v>
      </c>
      <c r="V1372" s="3">
        <v>0</v>
      </c>
      <c r="X1372" s="2" t="s">
        <v>2108</v>
      </c>
      <c r="Y1372" s="18">
        <v>0</v>
      </c>
      <c r="Z1372" s="18">
        <v>2</v>
      </c>
      <c r="AA1372" s="18">
        <v>1</v>
      </c>
      <c r="AB1372" s="18">
        <v>0</v>
      </c>
      <c r="AC1372" s="18">
        <v>0</v>
      </c>
      <c r="AD1372" s="18">
        <v>1</v>
      </c>
      <c r="AE1372" s="18">
        <v>1</v>
      </c>
      <c r="AN1372" s="3">
        <f t="shared" si="31"/>
        <v>5</v>
      </c>
      <c r="AO1372" s="3">
        <v>9</v>
      </c>
      <c r="AP1372" s="3">
        <v>2</v>
      </c>
      <c r="AR1372" s="2" t="s">
        <v>2109</v>
      </c>
    </row>
    <row r="1373" spans="1:44" ht="12.75" customHeight="1">
      <c r="A1373" s="5">
        <v>41374</v>
      </c>
      <c r="B1373" s="2" t="s">
        <v>152</v>
      </c>
      <c r="C1373" s="2" t="s">
        <v>183</v>
      </c>
      <c r="E1373" s="18">
        <v>0</v>
      </c>
      <c r="F1373" s="18">
        <v>3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T1373" s="3">
        <f t="shared" si="30"/>
        <v>3</v>
      </c>
      <c r="U1373" s="3">
        <v>5</v>
      </c>
      <c r="V1373" s="3">
        <v>3</v>
      </c>
      <c r="X1373" s="2" t="s">
        <v>2106</v>
      </c>
      <c r="Y1373" s="18">
        <v>0</v>
      </c>
      <c r="Z1373" s="18">
        <v>6</v>
      </c>
      <c r="AA1373" s="18">
        <v>0</v>
      </c>
      <c r="AB1373" s="18">
        <v>2</v>
      </c>
      <c r="AC1373" s="18">
        <v>0</v>
      </c>
      <c r="AD1373" s="18">
        <v>0</v>
      </c>
      <c r="AE1373" s="18" t="s">
        <v>162</v>
      </c>
      <c r="AN1373" s="3">
        <f t="shared" si="31"/>
        <v>8</v>
      </c>
      <c r="AO1373" s="3">
        <v>8</v>
      </c>
      <c r="AP1373" s="3">
        <v>3</v>
      </c>
      <c r="AR1373" s="2" t="s">
        <v>2107</v>
      </c>
    </row>
    <row r="1374" spans="1:44" ht="12.75" customHeight="1">
      <c r="A1374" s="5">
        <v>41379</v>
      </c>
      <c r="C1374" s="2" t="s">
        <v>191</v>
      </c>
      <c r="E1374" s="18">
        <v>1</v>
      </c>
      <c r="F1374" s="18">
        <v>4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T1374" s="3">
        <f t="shared" si="30"/>
        <v>5</v>
      </c>
      <c r="U1374" s="3">
        <v>6</v>
      </c>
      <c r="V1374" s="3">
        <v>4</v>
      </c>
      <c r="X1374" s="2" t="s">
        <v>2104</v>
      </c>
      <c r="Y1374" s="18">
        <v>2</v>
      </c>
      <c r="Z1374" s="18">
        <v>0</v>
      </c>
      <c r="AA1374" s="18">
        <v>4</v>
      </c>
      <c r="AB1374" s="18">
        <v>0</v>
      </c>
      <c r="AC1374" s="18">
        <v>0</v>
      </c>
      <c r="AD1374" s="18">
        <v>0</v>
      </c>
      <c r="AE1374" s="18">
        <v>0</v>
      </c>
      <c r="AN1374" s="3">
        <f t="shared" si="31"/>
        <v>6</v>
      </c>
      <c r="AO1374" s="3">
        <v>9</v>
      </c>
      <c r="AP1374" s="3">
        <v>1</v>
      </c>
      <c r="AR1374" s="2" t="s">
        <v>2105</v>
      </c>
    </row>
    <row r="1375" spans="1:44" ht="12.75" customHeight="1">
      <c r="A1375" s="5">
        <v>41380</v>
      </c>
      <c r="C1375" s="2" t="s">
        <v>236</v>
      </c>
      <c r="E1375" s="18">
        <v>2</v>
      </c>
      <c r="F1375" s="18">
        <v>3</v>
      </c>
      <c r="G1375" s="18">
        <v>0</v>
      </c>
      <c r="H1375" s="18">
        <v>1</v>
      </c>
      <c r="I1375" s="18">
        <v>0</v>
      </c>
      <c r="J1375" s="18">
        <v>0</v>
      </c>
      <c r="K1375" s="18">
        <v>2</v>
      </c>
      <c r="T1375" s="3">
        <f t="shared" si="30"/>
        <v>8</v>
      </c>
      <c r="U1375" s="3">
        <v>7</v>
      </c>
      <c r="V1375" s="3">
        <v>3</v>
      </c>
      <c r="X1375" s="2" t="s">
        <v>2102</v>
      </c>
      <c r="Y1375" s="18">
        <v>2</v>
      </c>
      <c r="Z1375" s="18">
        <v>0</v>
      </c>
      <c r="AA1375" s="18">
        <v>4</v>
      </c>
      <c r="AB1375" s="18">
        <v>2</v>
      </c>
      <c r="AC1375" s="18">
        <v>5</v>
      </c>
      <c r="AD1375" s="18">
        <v>0</v>
      </c>
      <c r="AE1375" s="18">
        <v>2</v>
      </c>
      <c r="AN1375" s="3">
        <f t="shared" si="31"/>
        <v>15</v>
      </c>
      <c r="AO1375" s="3">
        <v>16</v>
      </c>
      <c r="AP1375" s="3">
        <v>3</v>
      </c>
      <c r="AR1375" s="2" t="s">
        <v>2103</v>
      </c>
    </row>
    <row r="1376" spans="1:44" ht="12.75" customHeight="1">
      <c r="A1376" s="5">
        <v>41386</v>
      </c>
      <c r="C1376" s="2" t="s">
        <v>305</v>
      </c>
      <c r="E1376" s="18">
        <v>1</v>
      </c>
      <c r="F1376" s="18">
        <v>5</v>
      </c>
      <c r="G1376" s="18">
        <v>1</v>
      </c>
      <c r="H1376" s="18">
        <v>4</v>
      </c>
      <c r="I1376" s="18">
        <v>4</v>
      </c>
      <c r="T1376" s="3">
        <f t="shared" si="30"/>
        <v>15</v>
      </c>
      <c r="U1376" s="3">
        <v>8</v>
      </c>
      <c r="V1376" s="3">
        <v>1</v>
      </c>
      <c r="X1376" s="2" t="s">
        <v>2100</v>
      </c>
      <c r="Y1376" s="18">
        <v>0</v>
      </c>
      <c r="Z1376" s="18">
        <v>5</v>
      </c>
      <c r="AA1376" s="18">
        <v>0</v>
      </c>
      <c r="AB1376" s="18">
        <v>0</v>
      </c>
      <c r="AC1376" s="18">
        <v>0</v>
      </c>
      <c r="AN1376" s="3">
        <f t="shared" si="31"/>
        <v>5</v>
      </c>
      <c r="AO1376" s="3">
        <v>12</v>
      </c>
      <c r="AP1376" s="3">
        <v>5</v>
      </c>
      <c r="AR1376" s="2" t="s">
        <v>2101</v>
      </c>
    </row>
    <row r="1377" spans="1:44" ht="12.75" customHeight="1">
      <c r="A1377" s="5">
        <v>41389</v>
      </c>
      <c r="C1377" s="2" t="s">
        <v>374</v>
      </c>
      <c r="E1377" s="18">
        <v>1</v>
      </c>
      <c r="F1377" s="18">
        <v>0</v>
      </c>
      <c r="G1377" s="18">
        <v>0</v>
      </c>
      <c r="H1377" s="18">
        <v>0</v>
      </c>
      <c r="I1377" s="18">
        <v>0</v>
      </c>
      <c r="J1377" s="18">
        <v>3</v>
      </c>
      <c r="K1377" s="18">
        <v>0</v>
      </c>
      <c r="T1377" s="3">
        <f t="shared" si="30"/>
        <v>4</v>
      </c>
      <c r="U1377" s="3">
        <v>3</v>
      </c>
      <c r="V1377" s="3">
        <v>2</v>
      </c>
      <c r="X1377" s="2" t="s">
        <v>2098</v>
      </c>
      <c r="Y1377" s="18">
        <v>0</v>
      </c>
      <c r="Z1377" s="18">
        <v>0</v>
      </c>
      <c r="AA1377" s="18">
        <v>0</v>
      </c>
      <c r="AB1377" s="18">
        <v>0</v>
      </c>
      <c r="AC1377" s="18">
        <v>4</v>
      </c>
      <c r="AD1377" s="18">
        <v>0</v>
      </c>
      <c r="AE1377" s="18">
        <v>1</v>
      </c>
      <c r="AN1377" s="3">
        <f t="shared" si="31"/>
        <v>5</v>
      </c>
      <c r="AO1377" s="3">
        <v>5</v>
      </c>
      <c r="AP1377" s="3">
        <v>0</v>
      </c>
      <c r="AR1377" s="2" t="s">
        <v>2099</v>
      </c>
    </row>
    <row r="1378" spans="1:44" ht="12.75" customHeight="1">
      <c r="A1378" s="5">
        <v>41390</v>
      </c>
      <c r="B1378" s="2" t="s">
        <v>152</v>
      </c>
      <c r="C1378" s="2" t="s">
        <v>943</v>
      </c>
      <c r="E1378" s="18">
        <v>1</v>
      </c>
      <c r="F1378" s="18">
        <v>0</v>
      </c>
      <c r="G1378" s="18">
        <v>0</v>
      </c>
      <c r="H1378" s="18">
        <v>2</v>
      </c>
      <c r="I1378" s="18">
        <v>0</v>
      </c>
      <c r="J1378" s="18">
        <v>0</v>
      </c>
      <c r="K1378" s="18">
        <v>6</v>
      </c>
      <c r="T1378" s="3">
        <f t="shared" si="30"/>
        <v>9</v>
      </c>
      <c r="U1378" s="3">
        <v>11</v>
      </c>
      <c r="V1378" s="3">
        <v>5</v>
      </c>
      <c r="X1378" s="2" t="s">
        <v>2096</v>
      </c>
      <c r="Y1378" s="18">
        <v>1</v>
      </c>
      <c r="Z1378" s="18">
        <v>0</v>
      </c>
      <c r="AA1378" s="18">
        <v>5</v>
      </c>
      <c r="AB1378" s="18">
        <v>0</v>
      </c>
      <c r="AC1378" s="18">
        <v>2</v>
      </c>
      <c r="AD1378" s="18">
        <v>3</v>
      </c>
      <c r="AE1378" s="18" t="s">
        <v>162</v>
      </c>
      <c r="AN1378" s="3">
        <f t="shared" si="31"/>
        <v>11</v>
      </c>
      <c r="AO1378" s="3">
        <v>9</v>
      </c>
      <c r="AP1378" s="3">
        <v>1</v>
      </c>
      <c r="AR1378" s="2" t="s">
        <v>2097</v>
      </c>
    </row>
    <row r="1379" spans="1:44" ht="12.75" customHeight="1">
      <c r="A1379" s="5">
        <v>41393</v>
      </c>
      <c r="B1379" s="2" t="s">
        <v>152</v>
      </c>
      <c r="C1379" s="2" t="s">
        <v>2213</v>
      </c>
      <c r="E1379" s="18">
        <v>0</v>
      </c>
      <c r="F1379" s="18">
        <v>0</v>
      </c>
      <c r="G1379" s="18">
        <v>0</v>
      </c>
      <c r="H1379" s="18">
        <v>0</v>
      </c>
      <c r="I1379" s="18">
        <v>0</v>
      </c>
      <c r="T1379" s="3">
        <f t="shared" si="30"/>
        <v>0</v>
      </c>
      <c r="U1379" s="3">
        <v>3</v>
      </c>
      <c r="V1379" s="3">
        <v>3</v>
      </c>
      <c r="X1379" s="2" t="s">
        <v>2094</v>
      </c>
      <c r="Y1379" s="18">
        <v>4</v>
      </c>
      <c r="Z1379" s="18">
        <v>1</v>
      </c>
      <c r="AA1379" s="18">
        <v>2</v>
      </c>
      <c r="AB1379" s="18">
        <v>1</v>
      </c>
      <c r="AC1379" s="18">
        <v>2</v>
      </c>
      <c r="AN1379" s="3">
        <f t="shared" si="31"/>
        <v>10</v>
      </c>
      <c r="AO1379" s="3">
        <v>12</v>
      </c>
      <c r="AP1379" s="3">
        <v>3</v>
      </c>
      <c r="AR1379" s="2" t="s">
        <v>2095</v>
      </c>
    </row>
    <row r="1380" spans="1:44" ht="12.75" customHeight="1">
      <c r="A1380" s="5">
        <v>41394</v>
      </c>
      <c r="C1380" s="2" t="s">
        <v>174</v>
      </c>
      <c r="E1380" s="18">
        <v>0</v>
      </c>
      <c r="F1380" s="18">
        <v>0</v>
      </c>
      <c r="G1380" s="18">
        <v>1</v>
      </c>
      <c r="H1380" s="18">
        <v>0</v>
      </c>
      <c r="I1380" s="18">
        <v>0</v>
      </c>
      <c r="J1380" s="18">
        <v>0</v>
      </c>
      <c r="K1380" s="18">
        <v>1</v>
      </c>
      <c r="T1380" s="3">
        <f t="shared" si="30"/>
        <v>2</v>
      </c>
      <c r="U1380" s="3">
        <v>7</v>
      </c>
      <c r="V1380" s="3">
        <v>1</v>
      </c>
      <c r="X1380" s="2" t="s">
        <v>2092</v>
      </c>
      <c r="Y1380" s="18">
        <v>0</v>
      </c>
      <c r="Z1380" s="18">
        <v>0</v>
      </c>
      <c r="AA1380" s="18">
        <v>1</v>
      </c>
      <c r="AB1380" s="18">
        <v>0</v>
      </c>
      <c r="AC1380" s="18">
        <v>0</v>
      </c>
      <c r="AD1380" s="18">
        <v>0</v>
      </c>
      <c r="AE1380" s="18">
        <v>0</v>
      </c>
      <c r="AN1380" s="3">
        <f t="shared" si="31"/>
        <v>1</v>
      </c>
      <c r="AO1380" s="3">
        <v>3</v>
      </c>
      <c r="AP1380" s="3">
        <v>2</v>
      </c>
      <c r="AR1380" s="2" t="s">
        <v>2093</v>
      </c>
    </row>
    <row r="1381" spans="1:44" ht="12.75" customHeight="1">
      <c r="A1381" s="5">
        <v>41397</v>
      </c>
      <c r="C1381" s="2" t="s">
        <v>297</v>
      </c>
      <c r="E1381" s="18">
        <v>0</v>
      </c>
      <c r="F1381" s="18">
        <v>0</v>
      </c>
      <c r="G1381" s="18">
        <v>2</v>
      </c>
      <c r="H1381" s="18">
        <v>0</v>
      </c>
      <c r="I1381" s="18">
        <v>0</v>
      </c>
      <c r="J1381" s="18">
        <v>0</v>
      </c>
      <c r="K1381" s="18">
        <v>1</v>
      </c>
      <c r="T1381" s="3">
        <f t="shared" si="30"/>
        <v>3</v>
      </c>
      <c r="U1381" s="3">
        <v>8</v>
      </c>
      <c r="V1381" s="3">
        <v>6</v>
      </c>
      <c r="X1381" s="2" t="s">
        <v>2077</v>
      </c>
      <c r="Y1381" s="18">
        <v>0</v>
      </c>
      <c r="Z1381" s="18">
        <v>0</v>
      </c>
      <c r="AA1381" s="18">
        <v>0</v>
      </c>
      <c r="AB1381" s="18">
        <v>2</v>
      </c>
      <c r="AC1381" s="18">
        <v>5</v>
      </c>
      <c r="AD1381" s="18">
        <v>1</v>
      </c>
      <c r="AE1381" s="18">
        <v>2</v>
      </c>
      <c r="AN1381" s="3">
        <f t="shared" si="31"/>
        <v>10</v>
      </c>
      <c r="AO1381" s="3">
        <v>7</v>
      </c>
      <c r="AP1381" s="3">
        <v>1</v>
      </c>
      <c r="AR1381" s="2" t="s">
        <v>2091</v>
      </c>
    </row>
    <row r="1382" spans="1:44" ht="12.75" customHeight="1">
      <c r="A1382" s="5">
        <v>41400</v>
      </c>
      <c r="C1382" s="2" t="s">
        <v>192</v>
      </c>
      <c r="E1382" s="18">
        <v>3</v>
      </c>
      <c r="F1382" s="18">
        <v>3</v>
      </c>
      <c r="G1382" s="18">
        <v>0</v>
      </c>
      <c r="H1382" s="18">
        <v>0</v>
      </c>
      <c r="I1382" s="18">
        <v>0</v>
      </c>
      <c r="J1382" s="18">
        <v>0</v>
      </c>
      <c r="K1382" s="18">
        <v>3</v>
      </c>
      <c r="T1382" s="3">
        <f t="shared" si="30"/>
        <v>9</v>
      </c>
      <c r="U1382" s="3">
        <v>6</v>
      </c>
      <c r="V1382" s="3">
        <v>5</v>
      </c>
      <c r="X1382" s="2" t="s">
        <v>2089</v>
      </c>
      <c r="Y1382" s="18">
        <v>0</v>
      </c>
      <c r="Z1382" s="18">
        <v>0</v>
      </c>
      <c r="AA1382" s="18">
        <v>3</v>
      </c>
      <c r="AB1382" s="18">
        <v>1</v>
      </c>
      <c r="AC1382" s="18">
        <v>1</v>
      </c>
      <c r="AD1382" s="18">
        <v>2</v>
      </c>
      <c r="AE1382" s="18">
        <v>1</v>
      </c>
      <c r="AN1382" s="3">
        <f t="shared" si="31"/>
        <v>8</v>
      </c>
      <c r="AO1382" s="3">
        <v>10</v>
      </c>
      <c r="AP1382" s="3">
        <v>5</v>
      </c>
      <c r="AR1382" s="2" t="s">
        <v>2090</v>
      </c>
    </row>
    <row r="1383" spans="1:44" ht="12.75" customHeight="1">
      <c r="A1383" s="5">
        <v>41401</v>
      </c>
      <c r="B1383" s="2" t="s">
        <v>152</v>
      </c>
      <c r="C1383" s="2" t="s">
        <v>379</v>
      </c>
      <c r="E1383" s="18">
        <v>0</v>
      </c>
      <c r="F1383" s="18">
        <v>0</v>
      </c>
      <c r="G1383" s="18">
        <v>3</v>
      </c>
      <c r="H1383" s="18">
        <v>0</v>
      </c>
      <c r="I1383" s="18">
        <v>0</v>
      </c>
      <c r="J1383" s="18">
        <v>1</v>
      </c>
      <c r="K1383" s="18">
        <v>0</v>
      </c>
      <c r="L1383" s="18">
        <v>0</v>
      </c>
      <c r="M1383" s="18">
        <v>2</v>
      </c>
      <c r="T1383" s="3">
        <f t="shared" si="30"/>
        <v>6</v>
      </c>
      <c r="U1383" s="3">
        <v>6</v>
      </c>
      <c r="V1383" s="3">
        <v>2</v>
      </c>
      <c r="X1383" s="2" t="s">
        <v>2017</v>
      </c>
      <c r="Y1383" s="18">
        <v>0</v>
      </c>
      <c r="Z1383" s="18">
        <v>0</v>
      </c>
      <c r="AA1383" s="18">
        <v>0</v>
      </c>
      <c r="AB1383" s="18">
        <v>0</v>
      </c>
      <c r="AC1383" s="18">
        <v>1</v>
      </c>
      <c r="AD1383" s="18">
        <v>0</v>
      </c>
      <c r="AE1383" s="18">
        <v>3</v>
      </c>
      <c r="AF1383" s="18">
        <v>0</v>
      </c>
      <c r="AG1383" s="18">
        <v>0</v>
      </c>
      <c r="AN1383" s="3">
        <f t="shared" si="31"/>
        <v>4</v>
      </c>
      <c r="AO1383" s="3">
        <v>11</v>
      </c>
      <c r="AP1383" s="3">
        <v>3</v>
      </c>
      <c r="AR1383" s="2" t="s">
        <v>2088</v>
      </c>
    </row>
    <row r="1384" spans="1:44" ht="12.75" customHeight="1">
      <c r="A1384" s="5">
        <v>41402</v>
      </c>
      <c r="C1384" s="2" t="s">
        <v>943</v>
      </c>
      <c r="E1384" s="18">
        <v>0</v>
      </c>
      <c r="F1384" s="18">
        <v>1</v>
      </c>
      <c r="G1384" s="18">
        <v>0</v>
      </c>
      <c r="H1384" s="18">
        <v>0</v>
      </c>
      <c r="I1384" s="18">
        <v>0</v>
      </c>
      <c r="J1384" s="18">
        <v>0</v>
      </c>
      <c r="K1384" s="18">
        <v>2</v>
      </c>
      <c r="T1384" s="3">
        <f t="shared" si="30"/>
        <v>3</v>
      </c>
      <c r="U1384" s="3">
        <v>5</v>
      </c>
      <c r="V1384" s="3">
        <v>4</v>
      </c>
      <c r="X1384" s="2" t="s">
        <v>2087</v>
      </c>
      <c r="Y1384" s="18">
        <v>1</v>
      </c>
      <c r="Z1384" s="18">
        <v>1</v>
      </c>
      <c r="AA1384" s="18">
        <v>1</v>
      </c>
      <c r="AB1384" s="18">
        <v>0</v>
      </c>
      <c r="AC1384" s="18">
        <v>0</v>
      </c>
      <c r="AD1384" s="18">
        <v>0</v>
      </c>
      <c r="AE1384" s="18">
        <v>1</v>
      </c>
      <c r="AN1384" s="3">
        <f t="shared" si="31"/>
        <v>4</v>
      </c>
      <c r="AO1384" s="3">
        <v>10</v>
      </c>
      <c r="AP1384" s="3">
        <v>2</v>
      </c>
      <c r="AR1384" s="2" t="s">
        <v>2086</v>
      </c>
    </row>
    <row r="1385" spans="1:44" ht="12.75" customHeight="1">
      <c r="A1385" s="5">
        <v>41408</v>
      </c>
      <c r="C1385" s="2" t="s">
        <v>379</v>
      </c>
      <c r="E1385" s="18">
        <v>0</v>
      </c>
      <c r="F1385" s="18">
        <v>0</v>
      </c>
      <c r="G1385" s="18">
        <v>1</v>
      </c>
      <c r="H1385" s="18">
        <v>2</v>
      </c>
      <c r="I1385" s="18">
        <v>0</v>
      </c>
      <c r="J1385" s="18">
        <v>0</v>
      </c>
      <c r="K1385" s="18">
        <v>1</v>
      </c>
      <c r="T1385" s="3">
        <f t="shared" si="30"/>
        <v>4</v>
      </c>
      <c r="U1385" s="3">
        <v>6</v>
      </c>
      <c r="V1385" s="3">
        <v>5</v>
      </c>
      <c r="X1385" s="2" t="s">
        <v>2054</v>
      </c>
      <c r="Y1385" s="18">
        <v>1</v>
      </c>
      <c r="Z1385" s="18">
        <v>0</v>
      </c>
      <c r="AA1385" s="18">
        <v>1</v>
      </c>
      <c r="AB1385" s="18">
        <v>0</v>
      </c>
      <c r="AC1385" s="18">
        <v>1</v>
      </c>
      <c r="AD1385" s="18">
        <v>1</v>
      </c>
      <c r="AE1385" s="18">
        <v>4</v>
      </c>
      <c r="AN1385" s="3">
        <f t="shared" si="31"/>
        <v>8</v>
      </c>
      <c r="AO1385" s="3">
        <v>10</v>
      </c>
      <c r="AP1385" s="3">
        <v>1</v>
      </c>
      <c r="AR1385" s="2" t="s">
        <v>2055</v>
      </c>
    </row>
    <row r="1386" spans="1:44" ht="12.75" customHeight="1">
      <c r="A1386" s="5">
        <v>41410</v>
      </c>
      <c r="B1386" s="2" t="s">
        <v>152</v>
      </c>
      <c r="C1386" s="2" t="s">
        <v>236</v>
      </c>
      <c r="E1386" s="18">
        <v>1</v>
      </c>
      <c r="F1386" s="18">
        <v>1</v>
      </c>
      <c r="G1386" s="18">
        <v>0</v>
      </c>
      <c r="H1386" s="18">
        <v>0</v>
      </c>
      <c r="I1386" s="18">
        <v>9</v>
      </c>
      <c r="J1386" s="18">
        <v>1</v>
      </c>
      <c r="K1386" s="18">
        <v>0</v>
      </c>
      <c r="T1386" s="3">
        <f>SUM(E1386:S1386)</f>
        <v>12</v>
      </c>
      <c r="U1386" s="3">
        <v>9</v>
      </c>
      <c r="V1386" s="3">
        <v>5</v>
      </c>
      <c r="X1386" s="2" t="s">
        <v>2072</v>
      </c>
      <c r="Y1386" s="18">
        <v>2</v>
      </c>
      <c r="Z1386" s="18">
        <v>4</v>
      </c>
      <c r="AA1386" s="18">
        <v>0</v>
      </c>
      <c r="AB1386" s="18">
        <v>1</v>
      </c>
      <c r="AC1386" s="18">
        <v>0</v>
      </c>
      <c r="AD1386" s="18">
        <v>3</v>
      </c>
      <c r="AE1386" s="18">
        <v>0</v>
      </c>
      <c r="AN1386" s="3">
        <f>SUM(Y1386:AM1386)</f>
        <v>10</v>
      </c>
      <c r="AO1386" s="3">
        <v>10</v>
      </c>
      <c r="AP1386" s="3">
        <v>5</v>
      </c>
      <c r="AR1386" s="2" t="s">
        <v>2085</v>
      </c>
    </row>
    <row r="1387" spans="1:44" ht="12.75" customHeight="1">
      <c r="A1387" s="5">
        <v>41411</v>
      </c>
      <c r="C1387" s="2" t="s">
        <v>183</v>
      </c>
      <c r="E1387" s="18">
        <v>0</v>
      </c>
      <c r="F1387" s="18">
        <v>0</v>
      </c>
      <c r="G1387" s="18">
        <v>0</v>
      </c>
      <c r="H1387" s="18">
        <v>0</v>
      </c>
      <c r="I1387" s="18">
        <v>0</v>
      </c>
      <c r="J1387" s="18">
        <v>9</v>
      </c>
      <c r="K1387" s="18" t="s">
        <v>162</v>
      </c>
      <c r="T1387" s="3">
        <f>SUM(E1387:S1387)</f>
        <v>9</v>
      </c>
      <c r="U1387" s="3">
        <v>9</v>
      </c>
      <c r="V1387" s="3">
        <v>2</v>
      </c>
      <c r="X1387" s="2" t="s">
        <v>2050</v>
      </c>
      <c r="Y1387" s="18">
        <v>0</v>
      </c>
      <c r="Z1387" s="18">
        <v>0</v>
      </c>
      <c r="AA1387" s="18">
        <v>0</v>
      </c>
      <c r="AB1387" s="18">
        <v>1</v>
      </c>
      <c r="AC1387" s="18">
        <v>0</v>
      </c>
      <c r="AD1387" s="18">
        <v>1</v>
      </c>
      <c r="AE1387" s="18">
        <v>0</v>
      </c>
      <c r="AN1387" s="3">
        <f>SUM(Y1387:AM1387)</f>
        <v>2</v>
      </c>
      <c r="AO1387" s="3">
        <v>7</v>
      </c>
      <c r="AP1387" s="3">
        <v>0</v>
      </c>
      <c r="AR1387" s="2" t="s">
        <v>2051</v>
      </c>
    </row>
    <row r="1388" ht="12.75" customHeight="1"/>
    <row r="1389" spans="1:45" ht="12.75" customHeight="1">
      <c r="A1389" s="5">
        <v>41726</v>
      </c>
      <c r="B1389" s="2" t="s">
        <v>152</v>
      </c>
      <c r="C1389" s="2" t="s">
        <v>305</v>
      </c>
      <c r="E1389" s="18">
        <v>0</v>
      </c>
      <c r="F1389" s="18">
        <v>0</v>
      </c>
      <c r="G1389" s="18">
        <v>0</v>
      </c>
      <c r="H1389" s="18">
        <v>4</v>
      </c>
      <c r="I1389" s="18">
        <v>2</v>
      </c>
      <c r="J1389" s="18">
        <v>0</v>
      </c>
      <c r="T1389" s="3">
        <f aca="true" t="shared" si="32" ref="T1389:T1405">SUM(E1389:S1389)</f>
        <v>6</v>
      </c>
      <c r="U1389" s="3">
        <v>10</v>
      </c>
      <c r="V1389" s="3">
        <v>2</v>
      </c>
      <c r="X1389" s="2" t="s">
        <v>2113</v>
      </c>
      <c r="Y1389" s="18">
        <v>0</v>
      </c>
      <c r="Z1389" s="18">
        <v>2</v>
      </c>
      <c r="AA1389" s="18">
        <v>0</v>
      </c>
      <c r="AB1389" s="18">
        <v>4</v>
      </c>
      <c r="AC1389" s="18">
        <v>0</v>
      </c>
      <c r="AD1389" s="18">
        <v>1</v>
      </c>
      <c r="AE1389" s="18" t="s">
        <v>162</v>
      </c>
      <c r="AN1389" s="3">
        <f aca="true" t="shared" si="33" ref="AN1389:AN1405">SUM(Y1389:AM1389)</f>
        <v>7</v>
      </c>
      <c r="AO1389" s="3">
        <v>6</v>
      </c>
      <c r="AP1389" s="3">
        <v>0</v>
      </c>
      <c r="AR1389" s="2" t="s">
        <v>2114</v>
      </c>
      <c r="AS1389" s="2" t="s">
        <v>1848</v>
      </c>
    </row>
    <row r="1390" spans="1:46" ht="12.75" customHeight="1">
      <c r="A1390" s="5">
        <v>41730</v>
      </c>
      <c r="B1390" s="2" t="s">
        <v>152</v>
      </c>
      <c r="C1390" s="2" t="s">
        <v>374</v>
      </c>
      <c r="E1390" s="18">
        <v>5</v>
      </c>
      <c r="F1390" s="18">
        <v>1</v>
      </c>
      <c r="G1390" s="18">
        <v>0</v>
      </c>
      <c r="H1390" s="18">
        <v>1</v>
      </c>
      <c r="I1390" s="18">
        <v>0</v>
      </c>
      <c r="J1390" s="18">
        <v>5</v>
      </c>
      <c r="K1390" s="18">
        <v>0</v>
      </c>
      <c r="T1390" s="3">
        <f t="shared" si="32"/>
        <v>12</v>
      </c>
      <c r="U1390" s="3">
        <v>12</v>
      </c>
      <c r="V1390" s="3">
        <v>4</v>
      </c>
      <c r="X1390" s="2" t="s">
        <v>2084</v>
      </c>
      <c r="Y1390" s="18">
        <v>3</v>
      </c>
      <c r="Z1390" s="18">
        <v>3</v>
      </c>
      <c r="AA1390" s="18">
        <v>0</v>
      </c>
      <c r="AB1390" s="18">
        <v>5</v>
      </c>
      <c r="AC1390" s="18">
        <v>2</v>
      </c>
      <c r="AD1390" s="18">
        <v>0</v>
      </c>
      <c r="AE1390" s="18" t="s">
        <v>162</v>
      </c>
      <c r="AN1390" s="3">
        <f t="shared" si="33"/>
        <v>13</v>
      </c>
      <c r="AO1390" s="3">
        <v>10</v>
      </c>
      <c r="AP1390" s="3">
        <v>4</v>
      </c>
      <c r="AR1390" s="2" t="s">
        <v>2083</v>
      </c>
      <c r="AS1390" s="2" t="s">
        <v>2325</v>
      </c>
      <c r="AT1390" s="2">
        <v>15</v>
      </c>
    </row>
    <row r="1391" spans="1:44" ht="12.75" customHeight="1">
      <c r="A1391" s="5">
        <v>41731</v>
      </c>
      <c r="B1391" s="2" t="s">
        <v>152</v>
      </c>
      <c r="C1391" s="2" t="s">
        <v>943</v>
      </c>
      <c r="E1391" s="18">
        <v>0</v>
      </c>
      <c r="F1391" s="18">
        <v>0</v>
      </c>
      <c r="G1391" s="18">
        <v>0</v>
      </c>
      <c r="H1391" s="18">
        <v>0</v>
      </c>
      <c r="I1391" s="18">
        <v>1</v>
      </c>
      <c r="J1391" s="18">
        <v>0</v>
      </c>
      <c r="K1391" s="18">
        <v>0</v>
      </c>
      <c r="T1391" s="3">
        <f t="shared" si="32"/>
        <v>1</v>
      </c>
      <c r="U1391" s="3">
        <v>3</v>
      </c>
      <c r="V1391" s="3">
        <v>0</v>
      </c>
      <c r="X1391" s="2" t="s">
        <v>2082</v>
      </c>
      <c r="Y1391" s="18">
        <v>0</v>
      </c>
      <c r="Z1391" s="18">
        <v>1</v>
      </c>
      <c r="AA1391" s="18">
        <v>0</v>
      </c>
      <c r="AB1391" s="18">
        <v>1</v>
      </c>
      <c r="AC1391" s="18">
        <v>0</v>
      </c>
      <c r="AD1391" s="18">
        <v>0</v>
      </c>
      <c r="AE1391" s="18" t="s">
        <v>162</v>
      </c>
      <c r="AN1391" s="3">
        <f t="shared" si="33"/>
        <v>2</v>
      </c>
      <c r="AO1391" s="3">
        <v>4</v>
      </c>
      <c r="AP1391" s="3">
        <v>2</v>
      </c>
      <c r="AR1391" s="2" t="s">
        <v>2081</v>
      </c>
    </row>
    <row r="1392" spans="1:44" ht="12.75" customHeight="1">
      <c r="A1392" s="5">
        <v>41740</v>
      </c>
      <c r="B1392" s="2" t="s">
        <v>239</v>
      </c>
      <c r="C1392" s="2" t="s">
        <v>168</v>
      </c>
      <c r="E1392" s="18">
        <v>2</v>
      </c>
      <c r="F1392" s="18">
        <v>0</v>
      </c>
      <c r="G1392" s="18">
        <v>3</v>
      </c>
      <c r="H1392" s="18">
        <v>0</v>
      </c>
      <c r="I1392" s="18">
        <v>0</v>
      </c>
      <c r="J1392" s="18">
        <v>2</v>
      </c>
      <c r="K1392" s="18">
        <v>1</v>
      </c>
      <c r="T1392" s="3">
        <f t="shared" si="32"/>
        <v>8</v>
      </c>
      <c r="U1392" s="3">
        <v>9</v>
      </c>
      <c r="V1392" s="3">
        <v>2</v>
      </c>
      <c r="X1392" s="2" t="s">
        <v>2079</v>
      </c>
      <c r="Y1392" s="18">
        <v>2</v>
      </c>
      <c r="Z1392" s="18">
        <v>0</v>
      </c>
      <c r="AA1392" s="18">
        <v>0</v>
      </c>
      <c r="AB1392" s="18">
        <v>1</v>
      </c>
      <c r="AC1392" s="18">
        <v>0</v>
      </c>
      <c r="AD1392" s="18">
        <v>7</v>
      </c>
      <c r="AE1392" s="18">
        <v>0</v>
      </c>
      <c r="AN1392" s="3">
        <f t="shared" si="33"/>
        <v>10</v>
      </c>
      <c r="AO1392" s="3">
        <v>10</v>
      </c>
      <c r="AP1392" s="3">
        <v>3</v>
      </c>
      <c r="AR1392" s="2" t="s">
        <v>2080</v>
      </c>
    </row>
    <row r="1393" spans="1:44" ht="12.75" customHeight="1">
      <c r="A1393" s="5">
        <v>41741</v>
      </c>
      <c r="B1393" s="2" t="s">
        <v>239</v>
      </c>
      <c r="C1393" s="2" t="s">
        <v>2047</v>
      </c>
      <c r="E1393" s="18">
        <v>0</v>
      </c>
      <c r="F1393" s="18">
        <v>1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T1393" s="3">
        <f t="shared" si="32"/>
        <v>1</v>
      </c>
      <c r="U1393" s="3">
        <v>5</v>
      </c>
      <c r="V1393" s="3">
        <v>1</v>
      </c>
      <c r="X1393" s="2" t="s">
        <v>2077</v>
      </c>
      <c r="Y1393" s="18">
        <v>2</v>
      </c>
      <c r="Z1393" s="18">
        <v>0</v>
      </c>
      <c r="AA1393" s="18">
        <v>0</v>
      </c>
      <c r="AB1393" s="18">
        <v>2</v>
      </c>
      <c r="AC1393" s="18">
        <v>0</v>
      </c>
      <c r="AD1393" s="18">
        <v>0</v>
      </c>
      <c r="AE1393" s="18" t="s">
        <v>162</v>
      </c>
      <c r="AN1393" s="3">
        <f t="shared" si="33"/>
        <v>4</v>
      </c>
      <c r="AO1393" s="3">
        <v>7</v>
      </c>
      <c r="AP1393" s="3">
        <v>0</v>
      </c>
      <c r="AR1393" s="2" t="s">
        <v>2078</v>
      </c>
    </row>
    <row r="1394" spans="1:44" ht="12.75" customHeight="1">
      <c r="A1394" s="5">
        <v>41746</v>
      </c>
      <c r="C1394" s="2" t="s">
        <v>943</v>
      </c>
      <c r="E1394" s="18">
        <v>0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T1394" s="3">
        <f t="shared" si="32"/>
        <v>0</v>
      </c>
      <c r="U1394" s="3">
        <v>3</v>
      </c>
      <c r="V1394" s="3">
        <v>6</v>
      </c>
      <c r="X1394" s="2" t="s">
        <v>2072</v>
      </c>
      <c r="Y1394" s="18">
        <v>4</v>
      </c>
      <c r="Z1394" s="18">
        <v>0</v>
      </c>
      <c r="AA1394" s="18">
        <v>0</v>
      </c>
      <c r="AB1394" s="18">
        <v>2</v>
      </c>
      <c r="AC1394" s="18">
        <v>0</v>
      </c>
      <c r="AD1394" s="18">
        <v>0</v>
      </c>
      <c r="AE1394" s="18">
        <v>4</v>
      </c>
      <c r="AN1394" s="3">
        <f t="shared" si="33"/>
        <v>10</v>
      </c>
      <c r="AO1394" s="3">
        <v>11</v>
      </c>
      <c r="AP1394" s="3">
        <v>0</v>
      </c>
      <c r="AR1394" s="2" t="s">
        <v>2076</v>
      </c>
    </row>
    <row r="1395" spans="1:44" ht="12.75" customHeight="1">
      <c r="A1395" s="5">
        <v>41750</v>
      </c>
      <c r="C1395" s="2" t="s">
        <v>191</v>
      </c>
      <c r="E1395" s="18">
        <v>0</v>
      </c>
      <c r="F1395" s="18">
        <v>2</v>
      </c>
      <c r="G1395" s="18">
        <v>0</v>
      </c>
      <c r="H1395" s="18">
        <v>1</v>
      </c>
      <c r="I1395" s="18">
        <v>0</v>
      </c>
      <c r="J1395" s="18">
        <v>0</v>
      </c>
      <c r="K1395" s="18">
        <v>0</v>
      </c>
      <c r="T1395" s="3">
        <f t="shared" si="32"/>
        <v>3</v>
      </c>
      <c r="U1395" s="3">
        <v>5</v>
      </c>
      <c r="V1395" s="3">
        <v>3</v>
      </c>
      <c r="X1395" s="2" t="s">
        <v>2075</v>
      </c>
      <c r="Y1395" s="18">
        <v>0</v>
      </c>
      <c r="Z1395" s="18">
        <v>0</v>
      </c>
      <c r="AA1395" s="18">
        <v>0</v>
      </c>
      <c r="AB1395" s="18">
        <v>0</v>
      </c>
      <c r="AC1395" s="18">
        <v>6</v>
      </c>
      <c r="AD1395" s="18">
        <v>1</v>
      </c>
      <c r="AE1395" s="18">
        <v>0</v>
      </c>
      <c r="AN1395" s="3">
        <f t="shared" si="33"/>
        <v>7</v>
      </c>
      <c r="AO1395" s="3">
        <v>10</v>
      </c>
      <c r="AP1395" s="3">
        <v>1</v>
      </c>
      <c r="AR1395" s="2" t="s">
        <v>2074</v>
      </c>
    </row>
    <row r="1396" spans="1:44" ht="12.75" customHeight="1">
      <c r="A1396" s="5">
        <v>41751</v>
      </c>
      <c r="C1396" s="2" t="s">
        <v>305</v>
      </c>
      <c r="E1396" s="18">
        <v>0</v>
      </c>
      <c r="F1396" s="18">
        <v>0</v>
      </c>
      <c r="G1396" s="18">
        <v>3</v>
      </c>
      <c r="H1396" s="18">
        <v>0</v>
      </c>
      <c r="I1396" s="18">
        <v>0</v>
      </c>
      <c r="J1396" s="18">
        <v>5</v>
      </c>
      <c r="K1396" s="18">
        <v>0</v>
      </c>
      <c r="T1396" s="3">
        <f t="shared" si="32"/>
        <v>8</v>
      </c>
      <c r="U1396" s="3">
        <v>4</v>
      </c>
      <c r="V1396" s="3">
        <v>8</v>
      </c>
      <c r="X1396" s="2" t="s">
        <v>2072</v>
      </c>
      <c r="Y1396" s="18">
        <v>2</v>
      </c>
      <c r="Z1396" s="18">
        <v>2</v>
      </c>
      <c r="AA1396" s="18">
        <v>1</v>
      </c>
      <c r="AB1396" s="18">
        <v>2</v>
      </c>
      <c r="AC1396" s="18">
        <v>0</v>
      </c>
      <c r="AD1396" s="18">
        <v>1</v>
      </c>
      <c r="AE1396" s="18">
        <v>2</v>
      </c>
      <c r="AN1396" s="3">
        <f t="shared" si="33"/>
        <v>10</v>
      </c>
      <c r="AO1396" s="3">
        <v>12</v>
      </c>
      <c r="AP1396" s="3">
        <v>3</v>
      </c>
      <c r="AR1396" s="2" t="s">
        <v>2073</v>
      </c>
    </row>
    <row r="1397" spans="1:44" ht="12.75" customHeight="1">
      <c r="A1397" s="5">
        <v>41755</v>
      </c>
      <c r="C1397" s="2" t="s">
        <v>297</v>
      </c>
      <c r="E1397" s="18">
        <v>0</v>
      </c>
      <c r="F1397" s="18">
        <v>0</v>
      </c>
      <c r="G1397" s="18">
        <v>0</v>
      </c>
      <c r="H1397" s="18">
        <v>1</v>
      </c>
      <c r="I1397" s="18">
        <v>0</v>
      </c>
      <c r="J1397" s="18">
        <v>0</v>
      </c>
      <c r="K1397" s="18">
        <v>1</v>
      </c>
      <c r="L1397" s="18">
        <v>0</v>
      </c>
      <c r="T1397" s="3">
        <f t="shared" si="32"/>
        <v>2</v>
      </c>
      <c r="U1397" s="3">
        <v>4</v>
      </c>
      <c r="V1397" s="3">
        <v>2</v>
      </c>
      <c r="X1397" s="2" t="s">
        <v>2070</v>
      </c>
      <c r="Y1397" s="18">
        <v>1</v>
      </c>
      <c r="Z1397" s="18">
        <v>0</v>
      </c>
      <c r="AA1397" s="18">
        <v>0</v>
      </c>
      <c r="AB1397" s="18">
        <v>0</v>
      </c>
      <c r="AC1397" s="18">
        <v>0</v>
      </c>
      <c r="AD1397" s="18">
        <v>1</v>
      </c>
      <c r="AE1397" s="18">
        <v>0</v>
      </c>
      <c r="AF1397" s="18">
        <v>1</v>
      </c>
      <c r="AN1397" s="3">
        <f t="shared" si="33"/>
        <v>3</v>
      </c>
      <c r="AO1397" s="3">
        <v>10</v>
      </c>
      <c r="AP1397" s="3">
        <v>0</v>
      </c>
      <c r="AR1397" s="2" t="s">
        <v>2071</v>
      </c>
    </row>
    <row r="1398" spans="1:44" ht="12.75" customHeight="1">
      <c r="A1398" s="5">
        <v>41757</v>
      </c>
      <c r="C1398" s="2" t="s">
        <v>174</v>
      </c>
      <c r="E1398" s="18">
        <v>2</v>
      </c>
      <c r="F1398" s="18">
        <v>3</v>
      </c>
      <c r="G1398" s="18">
        <v>3</v>
      </c>
      <c r="H1398" s="18">
        <v>0</v>
      </c>
      <c r="I1398" s="18">
        <v>2</v>
      </c>
      <c r="J1398" s="18">
        <v>1</v>
      </c>
      <c r="K1398" s="18" t="s">
        <v>162</v>
      </c>
      <c r="T1398" s="3">
        <f t="shared" si="32"/>
        <v>11</v>
      </c>
      <c r="U1398" s="3">
        <v>11</v>
      </c>
      <c r="V1398" s="3">
        <v>4</v>
      </c>
      <c r="X1398" s="2" t="s">
        <v>2052</v>
      </c>
      <c r="Y1398" s="18">
        <v>2</v>
      </c>
      <c r="Z1398" s="18">
        <v>0</v>
      </c>
      <c r="AA1398" s="18">
        <v>0</v>
      </c>
      <c r="AB1398" s="18">
        <v>0</v>
      </c>
      <c r="AC1398" s="18">
        <v>3</v>
      </c>
      <c r="AD1398" s="18">
        <v>0</v>
      </c>
      <c r="AE1398" s="18">
        <v>0</v>
      </c>
      <c r="AN1398" s="3">
        <f t="shared" si="33"/>
        <v>5</v>
      </c>
      <c r="AO1398" s="3">
        <v>3</v>
      </c>
      <c r="AP1398" s="3">
        <v>5</v>
      </c>
      <c r="AR1398" s="2" t="s">
        <v>2053</v>
      </c>
    </row>
    <row r="1399" spans="1:44" ht="12.75" customHeight="1">
      <c r="A1399" s="5">
        <v>41761</v>
      </c>
      <c r="B1399" s="2" t="s">
        <v>152</v>
      </c>
      <c r="C1399" s="2" t="s">
        <v>183</v>
      </c>
      <c r="E1399" s="18">
        <v>1</v>
      </c>
      <c r="F1399" s="18">
        <v>2</v>
      </c>
      <c r="G1399" s="18">
        <v>3</v>
      </c>
      <c r="H1399" s="18">
        <v>0</v>
      </c>
      <c r="I1399" s="18">
        <v>0</v>
      </c>
      <c r="J1399" s="18">
        <v>0</v>
      </c>
      <c r="K1399" s="18">
        <v>0</v>
      </c>
      <c r="T1399" s="3">
        <f t="shared" si="32"/>
        <v>6</v>
      </c>
      <c r="U1399" s="3">
        <v>9</v>
      </c>
      <c r="V1399" s="3">
        <v>3</v>
      </c>
      <c r="X1399" s="2" t="s">
        <v>2207</v>
      </c>
      <c r="Y1399" s="18">
        <v>1</v>
      </c>
      <c r="Z1399" s="18">
        <v>0</v>
      </c>
      <c r="AA1399" s="18">
        <v>7</v>
      </c>
      <c r="AB1399" s="18">
        <v>0</v>
      </c>
      <c r="AC1399" s="18">
        <v>2</v>
      </c>
      <c r="AD1399" s="18">
        <v>0</v>
      </c>
      <c r="AE1399" s="18" t="s">
        <v>162</v>
      </c>
      <c r="AN1399" s="3">
        <f t="shared" si="33"/>
        <v>10</v>
      </c>
      <c r="AO1399" s="3">
        <v>10</v>
      </c>
      <c r="AP1399" s="3">
        <v>3</v>
      </c>
      <c r="AR1399" s="2" t="s">
        <v>2208</v>
      </c>
    </row>
    <row r="1400" spans="1:44" ht="12.75" customHeight="1">
      <c r="A1400" s="5">
        <v>41765</v>
      </c>
      <c r="C1400" s="2" t="s">
        <v>379</v>
      </c>
      <c r="E1400" s="18">
        <v>0</v>
      </c>
      <c r="F1400" s="18">
        <v>0</v>
      </c>
      <c r="G1400" s="18">
        <v>0</v>
      </c>
      <c r="H1400" s="18">
        <v>1</v>
      </c>
      <c r="I1400" s="18">
        <v>0</v>
      </c>
      <c r="J1400" s="18">
        <v>0</v>
      </c>
      <c r="K1400" s="18">
        <v>2</v>
      </c>
      <c r="L1400" s="18">
        <v>0</v>
      </c>
      <c r="M1400" s="18">
        <v>0</v>
      </c>
      <c r="N1400" s="18">
        <v>0</v>
      </c>
      <c r="O1400" s="18">
        <v>0</v>
      </c>
      <c r="P1400" s="18">
        <v>0</v>
      </c>
      <c r="Q1400" s="18">
        <v>0</v>
      </c>
      <c r="T1400" s="3">
        <f t="shared" si="32"/>
        <v>3</v>
      </c>
      <c r="U1400" s="3">
        <v>10</v>
      </c>
      <c r="V1400" s="3">
        <v>5</v>
      </c>
      <c r="X1400" s="2" t="s">
        <v>2068</v>
      </c>
      <c r="Y1400" s="18">
        <v>0</v>
      </c>
      <c r="Z1400" s="18">
        <v>0</v>
      </c>
      <c r="AA1400" s="18">
        <v>1</v>
      </c>
      <c r="AB1400" s="18">
        <v>0</v>
      </c>
      <c r="AC1400" s="18">
        <v>0</v>
      </c>
      <c r="AD1400" s="18">
        <v>0</v>
      </c>
      <c r="AE1400" s="18">
        <v>2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1</v>
      </c>
      <c r="AN1400" s="3">
        <f t="shared" si="33"/>
        <v>4</v>
      </c>
      <c r="AO1400" s="3">
        <v>9</v>
      </c>
      <c r="AP1400" s="3">
        <v>2</v>
      </c>
      <c r="AR1400" s="2" t="s">
        <v>2066</v>
      </c>
    </row>
    <row r="1401" spans="1:44" ht="12.75" customHeight="1">
      <c r="A1401" s="5">
        <v>41765</v>
      </c>
      <c r="C1401" s="2" t="s">
        <v>379</v>
      </c>
      <c r="E1401" s="18">
        <v>0</v>
      </c>
      <c r="F1401" s="18">
        <v>3</v>
      </c>
      <c r="G1401" s="18">
        <v>0</v>
      </c>
      <c r="H1401" s="18">
        <v>3</v>
      </c>
      <c r="I1401" s="18">
        <v>0</v>
      </c>
      <c r="J1401" s="18">
        <v>2</v>
      </c>
      <c r="K1401" s="18" t="s">
        <v>162</v>
      </c>
      <c r="T1401" s="3">
        <f t="shared" si="32"/>
        <v>8</v>
      </c>
      <c r="U1401" s="3">
        <v>8</v>
      </c>
      <c r="V1401" s="3">
        <v>4</v>
      </c>
      <c r="X1401" s="2" t="s">
        <v>2067</v>
      </c>
      <c r="Y1401" s="18">
        <v>0</v>
      </c>
      <c r="Z1401" s="18">
        <v>0</v>
      </c>
      <c r="AA1401" s="18">
        <v>3</v>
      </c>
      <c r="AB1401" s="18">
        <v>0</v>
      </c>
      <c r="AC1401" s="18">
        <v>0</v>
      </c>
      <c r="AD1401" s="18">
        <v>0</v>
      </c>
      <c r="AE1401" s="18">
        <v>0</v>
      </c>
      <c r="AN1401" s="3">
        <f t="shared" si="33"/>
        <v>3</v>
      </c>
      <c r="AO1401" s="3">
        <v>7</v>
      </c>
      <c r="AP1401" s="3">
        <v>4</v>
      </c>
      <c r="AR1401" s="2" t="s">
        <v>2069</v>
      </c>
    </row>
    <row r="1402" spans="1:44" ht="12.75" customHeight="1">
      <c r="A1402" s="5">
        <v>41766</v>
      </c>
      <c r="B1402" s="2" t="s">
        <v>152</v>
      </c>
      <c r="C1402" s="2" t="s">
        <v>192</v>
      </c>
      <c r="E1402" s="18">
        <v>2</v>
      </c>
      <c r="F1402" s="18">
        <v>1</v>
      </c>
      <c r="G1402" s="18">
        <v>1</v>
      </c>
      <c r="H1402" s="18">
        <v>4</v>
      </c>
      <c r="I1402" s="18">
        <v>0</v>
      </c>
      <c r="J1402" s="18">
        <v>0</v>
      </c>
      <c r="K1402" s="18">
        <v>2</v>
      </c>
      <c r="T1402" s="3">
        <f t="shared" si="32"/>
        <v>10</v>
      </c>
      <c r="U1402" s="3">
        <v>7</v>
      </c>
      <c r="V1402" s="3">
        <v>2</v>
      </c>
      <c r="X1402" s="2" t="s">
        <v>2065</v>
      </c>
      <c r="Y1402" s="18">
        <v>0</v>
      </c>
      <c r="Z1402" s="18">
        <v>0</v>
      </c>
      <c r="AA1402" s="18">
        <v>0</v>
      </c>
      <c r="AB1402" s="18">
        <v>2</v>
      </c>
      <c r="AC1402" s="18">
        <v>0</v>
      </c>
      <c r="AD1402" s="18">
        <v>0</v>
      </c>
      <c r="AE1402" s="18">
        <v>0</v>
      </c>
      <c r="AN1402" s="3">
        <f t="shared" si="33"/>
        <v>2</v>
      </c>
      <c r="AO1402" s="3">
        <v>5</v>
      </c>
      <c r="AP1402" s="3">
        <v>7</v>
      </c>
      <c r="AR1402" s="2" t="s">
        <v>2064</v>
      </c>
    </row>
    <row r="1403" spans="1:44" ht="12.75" customHeight="1">
      <c r="A1403" s="5">
        <v>41767</v>
      </c>
      <c r="C1403" s="2" t="s">
        <v>374</v>
      </c>
      <c r="E1403" s="18">
        <v>0</v>
      </c>
      <c r="F1403" s="18">
        <v>3</v>
      </c>
      <c r="G1403" s="18">
        <v>0</v>
      </c>
      <c r="H1403" s="18">
        <v>8</v>
      </c>
      <c r="I1403" s="18">
        <v>0</v>
      </c>
      <c r="J1403" s="18">
        <v>0</v>
      </c>
      <c r="K1403" s="18">
        <v>2</v>
      </c>
      <c r="T1403" s="3">
        <f t="shared" si="32"/>
        <v>13</v>
      </c>
      <c r="U1403" s="3">
        <v>12</v>
      </c>
      <c r="V1403" s="3">
        <v>4</v>
      </c>
      <c r="X1403" s="2" t="s">
        <v>2062</v>
      </c>
      <c r="Y1403" s="18">
        <v>2</v>
      </c>
      <c r="Z1403" s="18">
        <v>1</v>
      </c>
      <c r="AA1403" s="18">
        <v>1</v>
      </c>
      <c r="AB1403" s="18">
        <v>5</v>
      </c>
      <c r="AC1403" s="18">
        <v>4</v>
      </c>
      <c r="AD1403" s="18">
        <v>0</v>
      </c>
      <c r="AE1403" s="18">
        <v>1</v>
      </c>
      <c r="AN1403" s="3">
        <f t="shared" si="33"/>
        <v>14</v>
      </c>
      <c r="AO1403" s="3">
        <v>17</v>
      </c>
      <c r="AP1403" s="3">
        <v>1</v>
      </c>
      <c r="AR1403" s="2" t="s">
        <v>2063</v>
      </c>
    </row>
    <row r="1404" spans="1:44" ht="12.75" customHeight="1">
      <c r="A1404" s="5">
        <v>41768</v>
      </c>
      <c r="B1404" s="2" t="s">
        <v>152</v>
      </c>
      <c r="C1404" s="2" t="s">
        <v>236</v>
      </c>
      <c r="E1404" s="18">
        <v>2</v>
      </c>
      <c r="F1404" s="18">
        <v>1</v>
      </c>
      <c r="G1404" s="18">
        <v>0</v>
      </c>
      <c r="H1404" s="18">
        <v>0</v>
      </c>
      <c r="I1404" s="18">
        <v>0</v>
      </c>
      <c r="J1404" s="18">
        <v>1</v>
      </c>
      <c r="K1404" s="18">
        <v>0</v>
      </c>
      <c r="T1404" s="3">
        <f t="shared" si="32"/>
        <v>4</v>
      </c>
      <c r="U1404" s="3">
        <v>8</v>
      </c>
      <c r="V1404" s="3">
        <v>1</v>
      </c>
      <c r="X1404" s="2" t="s">
        <v>2060</v>
      </c>
      <c r="Y1404" s="18">
        <v>0</v>
      </c>
      <c r="Z1404" s="18">
        <v>0</v>
      </c>
      <c r="AA1404" s="18">
        <v>5</v>
      </c>
      <c r="AB1404" s="18">
        <v>0</v>
      </c>
      <c r="AC1404" s="18">
        <v>3</v>
      </c>
      <c r="AD1404" s="18">
        <v>1</v>
      </c>
      <c r="AE1404" s="18" t="s">
        <v>162</v>
      </c>
      <c r="AN1404" s="3">
        <f t="shared" si="33"/>
        <v>9</v>
      </c>
      <c r="AO1404" s="3">
        <v>10</v>
      </c>
      <c r="AP1404" s="3">
        <v>0</v>
      </c>
      <c r="AR1404" s="2" t="s">
        <v>2061</v>
      </c>
    </row>
    <row r="1405" spans="1:44" ht="12.75" customHeight="1">
      <c r="A1405" s="5">
        <v>41771</v>
      </c>
      <c r="B1405" s="2" t="s">
        <v>152</v>
      </c>
      <c r="C1405" s="2" t="s">
        <v>174</v>
      </c>
      <c r="E1405" s="18">
        <v>1</v>
      </c>
      <c r="F1405" s="18">
        <v>3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T1405" s="3">
        <f t="shared" si="32"/>
        <v>4</v>
      </c>
      <c r="U1405" s="3">
        <v>2</v>
      </c>
      <c r="V1405" s="3">
        <v>3</v>
      </c>
      <c r="X1405" s="2" t="s">
        <v>2058</v>
      </c>
      <c r="Y1405" s="18">
        <v>0</v>
      </c>
      <c r="Z1405" s="18">
        <v>0</v>
      </c>
      <c r="AA1405" s="18">
        <v>1</v>
      </c>
      <c r="AB1405" s="18">
        <v>0</v>
      </c>
      <c r="AC1405" s="18">
        <v>0</v>
      </c>
      <c r="AD1405" s="18">
        <v>5</v>
      </c>
      <c r="AE1405" s="18" t="s">
        <v>162</v>
      </c>
      <c r="AN1405" s="3">
        <f t="shared" si="33"/>
        <v>6</v>
      </c>
      <c r="AO1405" s="3">
        <v>10</v>
      </c>
      <c r="AP1405" s="3">
        <v>2</v>
      </c>
      <c r="AR1405" s="2" t="s">
        <v>2059</v>
      </c>
    </row>
    <row r="1406" spans="1:44" ht="12.75" customHeight="1">
      <c r="A1406" s="5">
        <v>41772</v>
      </c>
      <c r="C1406" s="2" t="s">
        <v>236</v>
      </c>
      <c r="E1406" s="18">
        <v>0</v>
      </c>
      <c r="F1406" s="18">
        <v>0</v>
      </c>
      <c r="G1406" s="18">
        <v>2</v>
      </c>
      <c r="H1406" s="18">
        <v>0</v>
      </c>
      <c r="I1406" s="18">
        <v>0</v>
      </c>
      <c r="J1406" s="18">
        <v>0</v>
      </c>
      <c r="K1406" s="18" t="s">
        <v>162</v>
      </c>
      <c r="T1406" s="3">
        <f>SUM(E1406:S1406)</f>
        <v>2</v>
      </c>
      <c r="U1406" s="3">
        <v>4</v>
      </c>
      <c r="V1406" s="3">
        <v>2</v>
      </c>
      <c r="X1406" s="2" t="s">
        <v>2065</v>
      </c>
      <c r="Y1406" s="18">
        <v>0</v>
      </c>
      <c r="Z1406" s="18">
        <v>1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N1406" s="3">
        <f>SUM(Y1406:AM1406)</f>
        <v>1</v>
      </c>
      <c r="AO1406" s="3">
        <v>4</v>
      </c>
      <c r="AP1406" s="3">
        <v>2</v>
      </c>
      <c r="AR1406" s="2" t="s">
        <v>2209</v>
      </c>
    </row>
    <row r="1407" spans="1:44" ht="12.75" customHeight="1">
      <c r="A1407" s="5">
        <v>41773</v>
      </c>
      <c r="B1407" s="2" t="s">
        <v>152</v>
      </c>
      <c r="C1407" s="2" t="s">
        <v>297</v>
      </c>
      <c r="E1407" s="18">
        <v>1</v>
      </c>
      <c r="F1407" s="18">
        <v>0</v>
      </c>
      <c r="G1407" s="18">
        <v>1</v>
      </c>
      <c r="H1407" s="18">
        <v>1</v>
      </c>
      <c r="I1407" s="18">
        <v>1</v>
      </c>
      <c r="J1407" s="18">
        <v>0</v>
      </c>
      <c r="K1407" s="18">
        <v>1</v>
      </c>
      <c r="T1407" s="3">
        <f>SUM(E1407:S1407)</f>
        <v>5</v>
      </c>
      <c r="U1407" s="3">
        <v>10</v>
      </c>
      <c r="V1407" s="3">
        <v>3</v>
      </c>
      <c r="X1407" s="2" t="s">
        <v>2049</v>
      </c>
      <c r="Y1407" s="18">
        <v>2</v>
      </c>
      <c r="Z1407" s="18">
        <v>0</v>
      </c>
      <c r="AA1407" s="18">
        <v>0</v>
      </c>
      <c r="AB1407" s="18">
        <v>0</v>
      </c>
      <c r="AC1407" s="18">
        <v>2</v>
      </c>
      <c r="AD1407" s="18">
        <v>2</v>
      </c>
      <c r="AE1407" s="18" t="s">
        <v>162</v>
      </c>
      <c r="AN1407" s="3">
        <f>SUM(Y1407:AM1407)</f>
        <v>6</v>
      </c>
      <c r="AO1407" s="3">
        <v>13</v>
      </c>
      <c r="AP1407" s="3">
        <v>1</v>
      </c>
      <c r="AR1407" s="2" t="s">
        <v>2048</v>
      </c>
    </row>
    <row r="1408" ht="12" customHeight="1"/>
    <row r="1409" spans="1:45" ht="12.75" customHeight="1">
      <c r="A1409" s="5">
        <v>42086</v>
      </c>
      <c r="B1409" s="2" t="s">
        <v>152</v>
      </c>
      <c r="C1409" s="2" t="s">
        <v>943</v>
      </c>
      <c r="E1409" s="18">
        <v>0</v>
      </c>
      <c r="F1409" s="18">
        <v>0</v>
      </c>
      <c r="G1409" s="18">
        <v>1</v>
      </c>
      <c r="H1409" s="18">
        <v>1</v>
      </c>
      <c r="I1409" s="18">
        <v>0</v>
      </c>
      <c r="J1409" s="18">
        <v>0</v>
      </c>
      <c r="K1409" s="18">
        <v>0</v>
      </c>
      <c r="T1409" s="3">
        <f aca="true" t="shared" si="34" ref="T1409:T1428">SUM(E1409:S1409)</f>
        <v>2</v>
      </c>
      <c r="U1409" s="3">
        <v>6</v>
      </c>
      <c r="V1409" s="3">
        <v>0</v>
      </c>
      <c r="X1409" s="2" t="s">
        <v>2115</v>
      </c>
      <c r="Y1409" s="18">
        <v>0</v>
      </c>
      <c r="Z1409" s="18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N1409" s="3">
        <f aca="true" t="shared" si="35" ref="AN1409:AN1428">SUM(Y1409:AM1409)</f>
        <v>0</v>
      </c>
      <c r="AO1409" s="3">
        <v>4</v>
      </c>
      <c r="AP1409" s="3">
        <v>1</v>
      </c>
      <c r="AR1409" s="2" t="s">
        <v>2116</v>
      </c>
      <c r="AS1409" s="2" t="s">
        <v>1848</v>
      </c>
    </row>
    <row r="1410" spans="1:46" ht="12.75" customHeight="1">
      <c r="A1410" s="5">
        <v>42090</v>
      </c>
      <c r="B1410" s="2" t="s">
        <v>152</v>
      </c>
      <c r="C1410" s="2" t="s">
        <v>305</v>
      </c>
      <c r="E1410" s="18">
        <v>0</v>
      </c>
      <c r="F1410" s="18">
        <v>1</v>
      </c>
      <c r="G1410" s="18">
        <v>0</v>
      </c>
      <c r="H1410" s="18">
        <v>0</v>
      </c>
      <c r="I1410" s="18">
        <v>0</v>
      </c>
      <c r="J1410" s="18">
        <v>0</v>
      </c>
      <c r="K1410" s="18">
        <v>5</v>
      </c>
      <c r="T1410" s="3">
        <f t="shared" si="34"/>
        <v>6</v>
      </c>
      <c r="U1410" s="3">
        <v>7</v>
      </c>
      <c r="V1410" s="3">
        <v>1</v>
      </c>
      <c r="X1410" s="2" t="s">
        <v>2065</v>
      </c>
      <c r="Y1410" s="18">
        <v>0</v>
      </c>
      <c r="Z1410" s="18">
        <v>2</v>
      </c>
      <c r="AA1410" s="18">
        <v>0</v>
      </c>
      <c r="AB1410" s="18">
        <v>2</v>
      </c>
      <c r="AC1410" s="18">
        <v>0</v>
      </c>
      <c r="AD1410" s="18">
        <v>0</v>
      </c>
      <c r="AE1410" s="18">
        <v>0</v>
      </c>
      <c r="AN1410" s="3">
        <f t="shared" si="35"/>
        <v>4</v>
      </c>
      <c r="AO1410" s="3">
        <v>8</v>
      </c>
      <c r="AP1410" s="3">
        <v>3</v>
      </c>
      <c r="AR1410" s="2" t="s">
        <v>2117</v>
      </c>
      <c r="AS1410" s="2" t="s">
        <v>176</v>
      </c>
      <c r="AT1410" s="2">
        <v>7</v>
      </c>
    </row>
    <row r="1411" spans="1:44" ht="12.75" customHeight="1">
      <c r="A1411" s="5">
        <v>42096</v>
      </c>
      <c r="B1411" s="2" t="s">
        <v>152</v>
      </c>
      <c r="C1411" s="2" t="s">
        <v>297</v>
      </c>
      <c r="E1411" s="18">
        <v>0</v>
      </c>
      <c r="F1411" s="18">
        <v>4</v>
      </c>
      <c r="G1411" s="18">
        <v>0</v>
      </c>
      <c r="H1411" s="18">
        <v>0</v>
      </c>
      <c r="I1411" s="18">
        <v>0</v>
      </c>
      <c r="J1411" s="18">
        <v>0</v>
      </c>
      <c r="K1411" s="18">
        <v>2</v>
      </c>
      <c r="T1411" s="3">
        <f t="shared" si="34"/>
        <v>6</v>
      </c>
      <c r="U1411" s="3">
        <v>5</v>
      </c>
      <c r="V1411" s="3">
        <v>4</v>
      </c>
      <c r="X1411" s="2" t="s">
        <v>2119</v>
      </c>
      <c r="Y1411" s="18">
        <v>0</v>
      </c>
      <c r="Z1411" s="18">
        <v>0</v>
      </c>
      <c r="AA1411" s="18">
        <v>0</v>
      </c>
      <c r="AB1411" s="18">
        <v>1</v>
      </c>
      <c r="AC1411" s="18">
        <v>0</v>
      </c>
      <c r="AD1411" s="18">
        <v>0</v>
      </c>
      <c r="AE1411" s="18">
        <v>0</v>
      </c>
      <c r="AN1411" s="3">
        <f t="shared" si="35"/>
        <v>1</v>
      </c>
      <c r="AO1411" s="3">
        <v>5</v>
      </c>
      <c r="AP1411" s="3">
        <v>2</v>
      </c>
      <c r="AR1411" s="2" t="s">
        <v>2120</v>
      </c>
    </row>
    <row r="1412" spans="1:44" ht="12.75" customHeight="1">
      <c r="A1412" s="5">
        <v>42100</v>
      </c>
      <c r="C1412" s="2" t="s">
        <v>183</v>
      </c>
      <c r="E1412" s="18">
        <v>3</v>
      </c>
      <c r="F1412" s="18">
        <v>0</v>
      </c>
      <c r="G1412" s="18">
        <v>1</v>
      </c>
      <c r="H1412" s="18">
        <v>0</v>
      </c>
      <c r="I1412" s="18">
        <v>0</v>
      </c>
      <c r="J1412" s="18">
        <v>0</v>
      </c>
      <c r="K1412" s="18">
        <v>0</v>
      </c>
      <c r="L1412" s="18">
        <v>0</v>
      </c>
      <c r="M1412" s="18">
        <v>0</v>
      </c>
      <c r="T1412" s="3">
        <f t="shared" si="34"/>
        <v>4</v>
      </c>
      <c r="U1412" s="3">
        <v>11</v>
      </c>
      <c r="V1412" s="3">
        <v>3</v>
      </c>
      <c r="X1412" s="2" t="s">
        <v>2102</v>
      </c>
      <c r="Y1412" s="18">
        <v>1</v>
      </c>
      <c r="Z1412" s="18">
        <v>0</v>
      </c>
      <c r="AA1412" s="18">
        <v>1</v>
      </c>
      <c r="AB1412" s="18">
        <v>0</v>
      </c>
      <c r="AC1412" s="18">
        <v>2</v>
      </c>
      <c r="AD1412" s="18">
        <v>0</v>
      </c>
      <c r="AE1412" s="18">
        <v>0</v>
      </c>
      <c r="AF1412" s="18">
        <v>0</v>
      </c>
      <c r="AG1412" s="18">
        <v>3</v>
      </c>
      <c r="AN1412" s="3">
        <f t="shared" si="35"/>
        <v>7</v>
      </c>
      <c r="AO1412" s="3">
        <v>12</v>
      </c>
      <c r="AP1412" s="3">
        <v>0</v>
      </c>
      <c r="AR1412" s="2" t="s">
        <v>2118</v>
      </c>
    </row>
    <row r="1413" spans="1:44" ht="12.75" customHeight="1">
      <c r="A1413" s="5">
        <v>42104</v>
      </c>
      <c r="B1413" s="2" t="s">
        <v>239</v>
      </c>
      <c r="C1413" s="2" t="s">
        <v>943</v>
      </c>
      <c r="D1413" s="2" t="s">
        <v>1743</v>
      </c>
      <c r="E1413" s="18">
        <v>0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T1413" s="3">
        <f t="shared" si="34"/>
        <v>0</v>
      </c>
      <c r="U1413" s="3">
        <v>3</v>
      </c>
      <c r="V1413" s="3">
        <v>5</v>
      </c>
      <c r="X1413" s="2" t="s">
        <v>2065</v>
      </c>
      <c r="Y1413" s="18">
        <v>0</v>
      </c>
      <c r="Z1413" s="18">
        <v>0</v>
      </c>
      <c r="AA1413" s="18">
        <v>0</v>
      </c>
      <c r="AB1413" s="18">
        <v>1</v>
      </c>
      <c r="AC1413" s="18">
        <v>1</v>
      </c>
      <c r="AD1413" s="18">
        <v>0</v>
      </c>
      <c r="AE1413" s="18">
        <v>0</v>
      </c>
      <c r="AN1413" s="3">
        <f t="shared" si="35"/>
        <v>2</v>
      </c>
      <c r="AO1413" s="3">
        <v>3</v>
      </c>
      <c r="AP1413" s="3">
        <v>1</v>
      </c>
      <c r="AR1413" s="2" t="s">
        <v>2076</v>
      </c>
    </row>
    <row r="1414" spans="1:44" ht="12.75" customHeight="1">
      <c r="A1414" s="5">
        <v>42105</v>
      </c>
      <c r="B1414" s="2" t="s">
        <v>239</v>
      </c>
      <c r="C1414" s="2" t="s">
        <v>391</v>
      </c>
      <c r="D1414" s="2" t="s">
        <v>1743</v>
      </c>
      <c r="E1414" s="18">
        <v>0</v>
      </c>
      <c r="F1414" s="18">
        <v>2</v>
      </c>
      <c r="G1414" s="18">
        <v>1</v>
      </c>
      <c r="H1414" s="18">
        <v>0</v>
      </c>
      <c r="I1414" s="18">
        <v>0</v>
      </c>
      <c r="J1414" s="18">
        <v>4</v>
      </c>
      <c r="K1414" s="18">
        <v>0</v>
      </c>
      <c r="T1414" s="3">
        <f t="shared" si="34"/>
        <v>7</v>
      </c>
      <c r="U1414" s="3">
        <v>5</v>
      </c>
      <c r="V1414" s="3">
        <v>0</v>
      </c>
      <c r="X1414" s="2" t="s">
        <v>2115</v>
      </c>
      <c r="Y1414" s="18">
        <v>0</v>
      </c>
      <c r="Z1414" s="18">
        <v>0</v>
      </c>
      <c r="AA1414" s="18">
        <v>1</v>
      </c>
      <c r="AB1414" s="18">
        <v>0</v>
      </c>
      <c r="AC1414" s="18">
        <v>2</v>
      </c>
      <c r="AD1414" s="18">
        <v>0</v>
      </c>
      <c r="AE1414" s="18">
        <v>0</v>
      </c>
      <c r="AN1414" s="3">
        <f t="shared" si="35"/>
        <v>3</v>
      </c>
      <c r="AO1414" s="3">
        <v>5</v>
      </c>
      <c r="AP1414" s="3">
        <v>2</v>
      </c>
      <c r="AR1414" s="2" t="s">
        <v>2122</v>
      </c>
    </row>
    <row r="1415" spans="1:44" ht="12.75" customHeight="1">
      <c r="A1415" s="5">
        <v>42108</v>
      </c>
      <c r="B1415" s="2" t="s">
        <v>152</v>
      </c>
      <c r="C1415" s="2" t="s">
        <v>236</v>
      </c>
      <c r="E1415" s="18">
        <v>0</v>
      </c>
      <c r="F1415" s="18">
        <v>1</v>
      </c>
      <c r="G1415" s="18">
        <v>3</v>
      </c>
      <c r="H1415" s="18">
        <v>0</v>
      </c>
      <c r="I1415" s="18">
        <v>0</v>
      </c>
      <c r="J1415" s="18">
        <v>0</v>
      </c>
      <c r="K1415" s="18">
        <v>2</v>
      </c>
      <c r="T1415" s="3">
        <f t="shared" si="34"/>
        <v>6</v>
      </c>
      <c r="U1415" s="3">
        <v>11</v>
      </c>
      <c r="V1415" s="3">
        <v>7</v>
      </c>
      <c r="X1415" s="2" t="s">
        <v>2065</v>
      </c>
      <c r="Y1415" s="18">
        <v>1</v>
      </c>
      <c r="Z1415" s="18">
        <v>3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N1415" s="3">
        <f t="shared" si="35"/>
        <v>4</v>
      </c>
      <c r="AO1415" s="3">
        <v>6</v>
      </c>
      <c r="AP1415" s="3">
        <v>2</v>
      </c>
      <c r="AR1415" s="2" t="s">
        <v>2121</v>
      </c>
    </row>
    <row r="1416" spans="1:44" ht="12.75" customHeight="1">
      <c r="A1416" s="5">
        <v>42109</v>
      </c>
      <c r="B1416" s="2" t="s">
        <v>152</v>
      </c>
      <c r="C1416" s="2" t="s">
        <v>374</v>
      </c>
      <c r="E1416" s="18">
        <v>0</v>
      </c>
      <c r="F1416" s="18">
        <v>2</v>
      </c>
      <c r="G1416" s="18">
        <v>0</v>
      </c>
      <c r="H1416" s="18">
        <v>0</v>
      </c>
      <c r="I1416" s="18">
        <v>0</v>
      </c>
      <c r="J1416" s="18">
        <v>0</v>
      </c>
      <c r="K1416" s="18">
        <v>1</v>
      </c>
      <c r="T1416" s="3">
        <f t="shared" si="34"/>
        <v>3</v>
      </c>
      <c r="U1416" s="3">
        <v>5</v>
      </c>
      <c r="V1416" s="3">
        <v>0</v>
      </c>
      <c r="X1416" s="2" t="s">
        <v>2139</v>
      </c>
      <c r="Y1416" s="18">
        <v>0</v>
      </c>
      <c r="Z1416" s="18">
        <v>0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N1416" s="3">
        <f t="shared" si="35"/>
        <v>0</v>
      </c>
      <c r="AO1416" s="3">
        <v>4</v>
      </c>
      <c r="AP1416" s="3">
        <v>0</v>
      </c>
      <c r="AR1416" s="2" t="s">
        <v>2140</v>
      </c>
    </row>
    <row r="1417" spans="1:44" ht="12.75" customHeight="1">
      <c r="A1417" s="5">
        <v>42115</v>
      </c>
      <c r="C1417" s="2" t="s">
        <v>305</v>
      </c>
      <c r="E1417" s="18">
        <v>1</v>
      </c>
      <c r="F1417" s="18">
        <v>1</v>
      </c>
      <c r="G1417" s="18">
        <v>0</v>
      </c>
      <c r="H1417" s="18">
        <v>0</v>
      </c>
      <c r="I1417" s="18">
        <v>2</v>
      </c>
      <c r="J1417" s="18">
        <v>0</v>
      </c>
      <c r="K1417" s="18" t="s">
        <v>162</v>
      </c>
      <c r="T1417" s="3">
        <f t="shared" si="34"/>
        <v>4</v>
      </c>
      <c r="U1417" s="3">
        <v>10</v>
      </c>
      <c r="V1417" s="3">
        <v>2</v>
      </c>
      <c r="X1417" s="2" t="s">
        <v>2115</v>
      </c>
      <c r="Y1417" s="18">
        <v>0</v>
      </c>
      <c r="Z1417" s="18">
        <v>0</v>
      </c>
      <c r="AA1417" s="18">
        <v>2</v>
      </c>
      <c r="AB1417" s="18">
        <v>0</v>
      </c>
      <c r="AC1417" s="18">
        <v>1</v>
      </c>
      <c r="AD1417" s="18">
        <v>0</v>
      </c>
      <c r="AE1417" s="18">
        <v>0</v>
      </c>
      <c r="AN1417" s="3">
        <f t="shared" si="35"/>
        <v>3</v>
      </c>
      <c r="AO1417" s="3">
        <v>6</v>
      </c>
      <c r="AP1417" s="3">
        <v>1</v>
      </c>
      <c r="AR1417" s="2" t="s">
        <v>2123</v>
      </c>
    </row>
    <row r="1418" spans="1:44" ht="12.75" customHeight="1">
      <c r="A1418" s="5">
        <v>42118</v>
      </c>
      <c r="B1418" s="2" t="s">
        <v>152</v>
      </c>
      <c r="C1418" s="2" t="s">
        <v>169</v>
      </c>
      <c r="E1418" s="18">
        <v>4</v>
      </c>
      <c r="F1418" s="18">
        <v>2</v>
      </c>
      <c r="G1418" s="18">
        <v>0</v>
      </c>
      <c r="H1418" s="18">
        <v>1</v>
      </c>
      <c r="I1418" s="18">
        <v>2</v>
      </c>
      <c r="J1418" s="18">
        <v>4</v>
      </c>
      <c r="T1418" s="3">
        <f t="shared" si="34"/>
        <v>13</v>
      </c>
      <c r="U1418" s="3">
        <v>15</v>
      </c>
      <c r="V1418" s="3">
        <v>1</v>
      </c>
      <c r="X1418" s="2" t="s">
        <v>2082</v>
      </c>
      <c r="Y1418" s="18">
        <v>0</v>
      </c>
      <c r="Z1418" s="18">
        <v>0</v>
      </c>
      <c r="AA1418" s="18">
        <v>0</v>
      </c>
      <c r="AB1418" s="18">
        <v>0</v>
      </c>
      <c r="AC1418" s="18">
        <v>0</v>
      </c>
      <c r="AD1418" s="18">
        <v>0</v>
      </c>
      <c r="AN1418" s="3">
        <f t="shared" si="35"/>
        <v>0</v>
      </c>
      <c r="AO1418" s="3">
        <v>0</v>
      </c>
      <c r="AP1418" s="3">
        <v>2</v>
      </c>
      <c r="AR1418" s="2" t="s">
        <v>2141</v>
      </c>
    </row>
    <row r="1419" spans="1:44" ht="12.75" customHeight="1">
      <c r="A1419" s="5">
        <v>42121</v>
      </c>
      <c r="C1419" s="2" t="s">
        <v>174</v>
      </c>
      <c r="E1419" s="18">
        <v>3</v>
      </c>
      <c r="F1419" s="18">
        <v>0</v>
      </c>
      <c r="G1419" s="18">
        <v>0</v>
      </c>
      <c r="H1419" s="18">
        <v>0</v>
      </c>
      <c r="I1419" s="18">
        <v>0</v>
      </c>
      <c r="J1419" s="18">
        <v>0</v>
      </c>
      <c r="K1419" s="18">
        <v>2</v>
      </c>
      <c r="T1419" s="3">
        <f t="shared" si="34"/>
        <v>5</v>
      </c>
      <c r="U1419" s="3">
        <v>6</v>
      </c>
      <c r="V1419" s="3">
        <v>1</v>
      </c>
      <c r="X1419" s="2" t="s">
        <v>2115</v>
      </c>
      <c r="Y1419" s="18">
        <v>0</v>
      </c>
      <c r="Z1419" s="18">
        <v>0</v>
      </c>
      <c r="AA1419" s="18">
        <v>0</v>
      </c>
      <c r="AB1419" s="18">
        <v>4</v>
      </c>
      <c r="AC1419" s="18">
        <v>0</v>
      </c>
      <c r="AD1419" s="18">
        <v>0</v>
      </c>
      <c r="AE1419" s="18">
        <v>0</v>
      </c>
      <c r="AN1419" s="3">
        <f t="shared" si="35"/>
        <v>4</v>
      </c>
      <c r="AO1419" s="3">
        <v>8</v>
      </c>
      <c r="AP1419" s="3">
        <v>2</v>
      </c>
      <c r="AR1419" s="2" t="s">
        <v>2133</v>
      </c>
    </row>
    <row r="1420" spans="1:44" ht="12.75" customHeight="1">
      <c r="A1420" s="5">
        <v>42122</v>
      </c>
      <c r="C1420" s="2" t="s">
        <v>297</v>
      </c>
      <c r="E1420" s="18">
        <v>0</v>
      </c>
      <c r="F1420" s="18">
        <v>0</v>
      </c>
      <c r="G1420" s="18">
        <v>0</v>
      </c>
      <c r="H1420" s="18">
        <v>0</v>
      </c>
      <c r="I1420" s="18">
        <v>0</v>
      </c>
      <c r="J1420" s="18">
        <v>0</v>
      </c>
      <c r="K1420" s="18">
        <v>3</v>
      </c>
      <c r="T1420" s="3">
        <f t="shared" si="34"/>
        <v>3</v>
      </c>
      <c r="U1420" s="3">
        <v>5</v>
      </c>
      <c r="V1420" s="3">
        <v>2</v>
      </c>
      <c r="X1420" s="2" t="s">
        <v>2124</v>
      </c>
      <c r="Y1420" s="18">
        <v>0</v>
      </c>
      <c r="Z1420" s="18">
        <v>0</v>
      </c>
      <c r="AA1420" s="18">
        <v>0</v>
      </c>
      <c r="AB1420" s="18">
        <v>0</v>
      </c>
      <c r="AC1420" s="18">
        <v>0</v>
      </c>
      <c r="AD1420" s="18">
        <v>2</v>
      </c>
      <c r="AE1420" s="18">
        <v>0</v>
      </c>
      <c r="AN1420" s="3">
        <f t="shared" si="35"/>
        <v>2</v>
      </c>
      <c r="AO1420" s="3">
        <v>8</v>
      </c>
      <c r="AP1420" s="3">
        <v>2</v>
      </c>
      <c r="AR1420" s="2" t="s">
        <v>2125</v>
      </c>
    </row>
    <row r="1421" spans="1:44" ht="12.75" customHeight="1">
      <c r="A1421" s="5">
        <v>42123</v>
      </c>
      <c r="C1421" s="2" t="s">
        <v>379</v>
      </c>
      <c r="E1421" s="18">
        <v>0</v>
      </c>
      <c r="F1421" s="18">
        <v>0</v>
      </c>
      <c r="G1421" s="18">
        <v>0</v>
      </c>
      <c r="H1421" s="18">
        <v>0</v>
      </c>
      <c r="I1421" s="18">
        <v>1</v>
      </c>
      <c r="J1421" s="18">
        <v>0</v>
      </c>
      <c r="K1421" s="18">
        <v>0</v>
      </c>
      <c r="T1421" s="3">
        <f t="shared" si="34"/>
        <v>1</v>
      </c>
      <c r="U1421" s="3">
        <v>4</v>
      </c>
      <c r="V1421" s="3">
        <v>2</v>
      </c>
      <c r="X1421" s="2" t="s">
        <v>2065</v>
      </c>
      <c r="Y1421" s="18">
        <v>0</v>
      </c>
      <c r="Z1421" s="18">
        <v>1</v>
      </c>
      <c r="AA1421" s="18">
        <v>1</v>
      </c>
      <c r="AB1421" s="18">
        <v>0</v>
      </c>
      <c r="AC1421" s="18">
        <v>1</v>
      </c>
      <c r="AD1421" s="18">
        <v>2</v>
      </c>
      <c r="AE1421" s="18">
        <v>0</v>
      </c>
      <c r="AN1421" s="3">
        <f t="shared" si="35"/>
        <v>5</v>
      </c>
      <c r="AO1421" s="3">
        <v>11</v>
      </c>
      <c r="AP1421" s="3">
        <v>3</v>
      </c>
      <c r="AR1421" s="2" t="s">
        <v>2134</v>
      </c>
    </row>
    <row r="1422" spans="1:44" ht="12.75" customHeight="1">
      <c r="A1422" s="5">
        <v>42125</v>
      </c>
      <c r="C1422" s="2" t="s">
        <v>374</v>
      </c>
      <c r="E1422" s="18">
        <v>0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T1422" s="3">
        <f t="shared" si="34"/>
        <v>0</v>
      </c>
      <c r="U1422" s="3" t="s">
        <v>162</v>
      </c>
      <c r="V1422" s="3" t="s">
        <v>162</v>
      </c>
      <c r="X1422" s="2" t="s">
        <v>2132</v>
      </c>
      <c r="Y1422" s="18">
        <v>7</v>
      </c>
      <c r="Z1422" s="18">
        <v>0</v>
      </c>
      <c r="AA1422" s="18">
        <v>0</v>
      </c>
      <c r="AB1422" s="18">
        <v>0</v>
      </c>
      <c r="AC1422" s="18">
        <v>0</v>
      </c>
      <c r="AD1422" s="18">
        <v>0</v>
      </c>
      <c r="AN1422" s="3">
        <f t="shared" si="35"/>
        <v>7</v>
      </c>
      <c r="AO1422" s="3" t="s">
        <v>162</v>
      </c>
      <c r="AP1422" s="3" t="s">
        <v>162</v>
      </c>
      <c r="AR1422" s="2" t="s">
        <v>2132</v>
      </c>
    </row>
    <row r="1423" spans="1:44" ht="12.75" customHeight="1">
      <c r="A1423" s="5">
        <v>42128</v>
      </c>
      <c r="B1423" s="2" t="s">
        <v>152</v>
      </c>
      <c r="C1423" s="2" t="s">
        <v>379</v>
      </c>
      <c r="E1423" s="18">
        <v>0</v>
      </c>
      <c r="F1423" s="18">
        <v>0</v>
      </c>
      <c r="G1423" s="18">
        <v>0</v>
      </c>
      <c r="H1423" s="18">
        <v>0</v>
      </c>
      <c r="I1423" s="18">
        <v>0</v>
      </c>
      <c r="J1423" s="18">
        <v>3</v>
      </c>
      <c r="K1423" s="18">
        <v>4</v>
      </c>
      <c r="T1423" s="3">
        <f t="shared" si="34"/>
        <v>7</v>
      </c>
      <c r="U1423" s="3">
        <v>11</v>
      </c>
      <c r="V1423" s="3">
        <v>1</v>
      </c>
      <c r="X1423" s="2" t="s">
        <v>2130</v>
      </c>
      <c r="Y1423" s="18">
        <v>0</v>
      </c>
      <c r="Z1423" s="18">
        <v>1</v>
      </c>
      <c r="AA1423" s="18">
        <v>1</v>
      </c>
      <c r="AB1423" s="18">
        <v>0</v>
      </c>
      <c r="AC1423" s="18">
        <v>1</v>
      </c>
      <c r="AD1423" s="18">
        <v>3</v>
      </c>
      <c r="AE1423" s="18">
        <v>0</v>
      </c>
      <c r="AN1423" s="3">
        <f t="shared" si="35"/>
        <v>6</v>
      </c>
      <c r="AO1423" s="3">
        <v>10</v>
      </c>
      <c r="AP1423" s="3">
        <v>1</v>
      </c>
      <c r="AR1423" s="2" t="s">
        <v>2131</v>
      </c>
    </row>
    <row r="1424" spans="1:44" ht="12.75" customHeight="1">
      <c r="A1424" s="5">
        <v>42129</v>
      </c>
      <c r="B1424" s="2" t="s">
        <v>152</v>
      </c>
      <c r="C1424" s="2" t="s">
        <v>174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3</v>
      </c>
      <c r="K1424" s="18">
        <v>2</v>
      </c>
      <c r="T1424" s="3">
        <f t="shared" si="34"/>
        <v>5</v>
      </c>
      <c r="U1424" s="3">
        <v>5</v>
      </c>
      <c r="V1424" s="3">
        <v>4</v>
      </c>
      <c r="X1424" s="2" t="s">
        <v>2128</v>
      </c>
      <c r="Y1424" s="18">
        <v>0</v>
      </c>
      <c r="Z1424" s="18">
        <v>0</v>
      </c>
      <c r="AA1424" s="18">
        <v>2</v>
      </c>
      <c r="AB1424" s="18">
        <v>0</v>
      </c>
      <c r="AC1424" s="18">
        <v>0</v>
      </c>
      <c r="AD1424" s="18">
        <v>8</v>
      </c>
      <c r="AE1424" s="18" t="s">
        <v>162</v>
      </c>
      <c r="AN1424" s="3">
        <f t="shared" si="35"/>
        <v>10</v>
      </c>
      <c r="AO1424" s="3">
        <v>11</v>
      </c>
      <c r="AP1424" s="3">
        <v>5</v>
      </c>
      <c r="AR1424" s="2" t="s">
        <v>2129</v>
      </c>
    </row>
    <row r="1425" spans="1:44" ht="12.75" customHeight="1">
      <c r="A1425" s="5">
        <v>42131</v>
      </c>
      <c r="C1425" s="2" t="s">
        <v>236</v>
      </c>
      <c r="E1425" s="18">
        <v>3</v>
      </c>
      <c r="F1425" s="18">
        <v>0</v>
      </c>
      <c r="G1425" s="18">
        <v>2</v>
      </c>
      <c r="H1425" s="18">
        <v>0</v>
      </c>
      <c r="I1425" s="18">
        <v>7</v>
      </c>
      <c r="J1425" s="18">
        <v>1</v>
      </c>
      <c r="T1425" s="3">
        <f t="shared" si="34"/>
        <v>13</v>
      </c>
      <c r="U1425" s="3">
        <v>17</v>
      </c>
      <c r="V1425" s="3">
        <v>2</v>
      </c>
      <c r="X1425" s="2" t="s">
        <v>2067</v>
      </c>
      <c r="Y1425" s="18">
        <v>0</v>
      </c>
      <c r="Z1425" s="18">
        <v>1</v>
      </c>
      <c r="AA1425" s="18">
        <v>1</v>
      </c>
      <c r="AB1425" s="18">
        <v>0</v>
      </c>
      <c r="AC1425" s="18">
        <v>1</v>
      </c>
      <c r="AD1425" s="18">
        <v>0</v>
      </c>
      <c r="AN1425" s="3">
        <f t="shared" si="35"/>
        <v>3</v>
      </c>
      <c r="AO1425" s="3">
        <v>9</v>
      </c>
      <c r="AP1425" s="3">
        <v>2</v>
      </c>
      <c r="AR1425" s="2" t="s">
        <v>2136</v>
      </c>
    </row>
    <row r="1426" spans="1:44" ht="12.75" customHeight="1">
      <c r="A1426" s="5">
        <v>42135</v>
      </c>
      <c r="C1426" s="2" t="s">
        <v>169</v>
      </c>
      <c r="E1426" s="18">
        <v>0</v>
      </c>
      <c r="F1426" s="18">
        <v>0</v>
      </c>
      <c r="G1426" s="18">
        <v>2</v>
      </c>
      <c r="H1426" s="18">
        <v>0</v>
      </c>
      <c r="I1426" s="18">
        <v>3</v>
      </c>
      <c r="J1426" s="18">
        <v>2</v>
      </c>
      <c r="K1426" s="18" t="s">
        <v>162</v>
      </c>
      <c r="T1426" s="3">
        <f t="shared" si="34"/>
        <v>7</v>
      </c>
      <c r="U1426" s="3">
        <v>8</v>
      </c>
      <c r="V1426" s="3">
        <v>5</v>
      </c>
      <c r="X1426" s="2" t="s">
        <v>2126</v>
      </c>
      <c r="Y1426" s="18">
        <v>0</v>
      </c>
      <c r="Z1426" s="18">
        <v>0</v>
      </c>
      <c r="AA1426" s="18">
        <v>1</v>
      </c>
      <c r="AB1426" s="18">
        <v>1</v>
      </c>
      <c r="AC1426" s="18">
        <v>0</v>
      </c>
      <c r="AD1426" s="18">
        <v>0</v>
      </c>
      <c r="AE1426" s="18">
        <v>0</v>
      </c>
      <c r="AN1426" s="3">
        <f t="shared" si="35"/>
        <v>2</v>
      </c>
      <c r="AO1426" s="3">
        <v>5</v>
      </c>
      <c r="AP1426" s="3">
        <v>1</v>
      </c>
      <c r="AR1426" s="2" t="s">
        <v>2127</v>
      </c>
    </row>
    <row r="1427" spans="1:44" ht="12.75" customHeight="1">
      <c r="A1427" s="5">
        <v>42138</v>
      </c>
      <c r="C1427" s="2" t="s">
        <v>192</v>
      </c>
      <c r="E1427" s="18">
        <v>1</v>
      </c>
      <c r="F1427" s="18">
        <v>4</v>
      </c>
      <c r="G1427" s="18">
        <v>3</v>
      </c>
      <c r="H1427" s="18">
        <v>3</v>
      </c>
      <c r="I1427" s="18" t="s">
        <v>162</v>
      </c>
      <c r="T1427" s="3">
        <f t="shared" si="34"/>
        <v>11</v>
      </c>
      <c r="U1427" s="3">
        <v>6</v>
      </c>
      <c r="V1427" s="3">
        <v>0</v>
      </c>
      <c r="X1427" s="2" t="s">
        <v>2138</v>
      </c>
      <c r="Y1427" s="18">
        <v>0</v>
      </c>
      <c r="Z1427" s="18">
        <v>0</v>
      </c>
      <c r="AA1427" s="18">
        <v>1</v>
      </c>
      <c r="AB1427" s="18">
        <v>0</v>
      </c>
      <c r="AC1427" s="18">
        <v>0</v>
      </c>
      <c r="AN1427" s="3">
        <f t="shared" si="35"/>
        <v>1</v>
      </c>
      <c r="AO1427" s="3">
        <v>5</v>
      </c>
      <c r="AP1427" s="3">
        <v>6</v>
      </c>
      <c r="AR1427" s="2" t="s">
        <v>2137</v>
      </c>
    </row>
    <row r="1428" spans="1:44" ht="12.75" customHeight="1">
      <c r="A1428" s="5">
        <v>42143</v>
      </c>
      <c r="C1428" s="2" t="s">
        <v>138</v>
      </c>
      <c r="D1428" s="2" t="s">
        <v>258</v>
      </c>
      <c r="E1428" s="18">
        <v>0</v>
      </c>
      <c r="F1428" s="18">
        <v>3</v>
      </c>
      <c r="G1428" s="18">
        <v>0</v>
      </c>
      <c r="H1428" s="18">
        <v>0</v>
      </c>
      <c r="I1428" s="18">
        <v>1</v>
      </c>
      <c r="J1428" s="18">
        <v>2</v>
      </c>
      <c r="K1428" s="18">
        <v>0</v>
      </c>
      <c r="T1428" s="3">
        <f t="shared" si="34"/>
        <v>6</v>
      </c>
      <c r="U1428" s="3">
        <v>8</v>
      </c>
      <c r="V1428" s="3">
        <v>8</v>
      </c>
      <c r="X1428" s="2" t="s">
        <v>2135</v>
      </c>
      <c r="Y1428" s="18">
        <v>0</v>
      </c>
      <c r="Z1428" s="18">
        <v>1</v>
      </c>
      <c r="AA1428" s="18">
        <v>4</v>
      </c>
      <c r="AB1428" s="18">
        <v>0</v>
      </c>
      <c r="AC1428" s="18">
        <v>3</v>
      </c>
      <c r="AD1428" s="18">
        <v>4</v>
      </c>
      <c r="AE1428" s="18">
        <v>1</v>
      </c>
      <c r="AN1428" s="3">
        <f t="shared" si="35"/>
        <v>13</v>
      </c>
      <c r="AO1428" s="3">
        <v>19</v>
      </c>
      <c r="AP1428" s="3">
        <v>1</v>
      </c>
      <c r="AR1428" s="2" t="s">
        <v>2378</v>
      </c>
    </row>
    <row r="1429" ht="12.75" customHeight="1"/>
    <row r="1430" spans="1:45" ht="12.75" customHeight="1">
      <c r="A1430" s="5">
        <v>42458</v>
      </c>
      <c r="C1430" s="2" t="s">
        <v>943</v>
      </c>
      <c r="E1430" s="18">
        <v>3</v>
      </c>
      <c r="F1430" s="18">
        <v>1</v>
      </c>
      <c r="G1430" s="18">
        <v>2</v>
      </c>
      <c r="H1430" s="18">
        <v>4</v>
      </c>
      <c r="I1430" s="18">
        <v>0</v>
      </c>
      <c r="J1430" s="18">
        <v>1</v>
      </c>
      <c r="K1430" s="18" t="s">
        <v>162</v>
      </c>
      <c r="T1430" s="3">
        <f aca="true" t="shared" si="36" ref="T1430:T1438">SUM(E1430:S1430)</f>
        <v>11</v>
      </c>
      <c r="U1430" s="3">
        <v>15</v>
      </c>
      <c r="V1430" s="3">
        <v>1</v>
      </c>
      <c r="X1430" s="2" t="s">
        <v>2065</v>
      </c>
      <c r="Y1430" s="18">
        <v>0</v>
      </c>
      <c r="Z1430" s="18">
        <v>3</v>
      </c>
      <c r="AA1430" s="18">
        <v>2</v>
      </c>
      <c r="AB1430" s="18">
        <v>0</v>
      </c>
      <c r="AC1430" s="18">
        <v>0</v>
      </c>
      <c r="AD1430" s="18">
        <v>0</v>
      </c>
      <c r="AE1430" s="18">
        <v>0</v>
      </c>
      <c r="AN1430" s="3">
        <f aca="true" t="shared" si="37" ref="AN1430:AN1438">SUM(Y1430:AM1430)</f>
        <v>5</v>
      </c>
      <c r="AO1430" s="3">
        <v>10</v>
      </c>
      <c r="AP1430" s="3">
        <v>3</v>
      </c>
      <c r="AR1430" s="2" t="s">
        <v>2144</v>
      </c>
      <c r="AS1430" s="2" t="s">
        <v>1848</v>
      </c>
    </row>
    <row r="1431" spans="1:46" ht="12.75" customHeight="1">
      <c r="A1431" s="5">
        <v>42461</v>
      </c>
      <c r="C1431" s="2" t="s">
        <v>305</v>
      </c>
      <c r="E1431" s="18">
        <v>0</v>
      </c>
      <c r="F1431" s="18">
        <v>0</v>
      </c>
      <c r="G1431" s="18">
        <v>1</v>
      </c>
      <c r="H1431" s="18">
        <v>0</v>
      </c>
      <c r="I1431" s="18">
        <v>2</v>
      </c>
      <c r="J1431" s="18">
        <v>0</v>
      </c>
      <c r="K1431" s="18" t="s">
        <v>162</v>
      </c>
      <c r="T1431" s="3">
        <f t="shared" si="36"/>
        <v>3</v>
      </c>
      <c r="U1431" s="3">
        <v>6</v>
      </c>
      <c r="V1431" s="3">
        <v>2</v>
      </c>
      <c r="X1431" s="2" t="s">
        <v>2142</v>
      </c>
      <c r="Y1431" s="18">
        <v>0</v>
      </c>
      <c r="Z1431" s="18">
        <v>1</v>
      </c>
      <c r="AA1431" s="18">
        <v>0</v>
      </c>
      <c r="AB1431" s="18">
        <v>0</v>
      </c>
      <c r="AC1431" s="18">
        <v>0</v>
      </c>
      <c r="AD1431" s="18">
        <v>0</v>
      </c>
      <c r="AE1431" s="18">
        <v>0</v>
      </c>
      <c r="AN1431" s="3">
        <f t="shared" si="37"/>
        <v>1</v>
      </c>
      <c r="AO1431" s="3">
        <v>6</v>
      </c>
      <c r="AP1431" s="3">
        <v>1</v>
      </c>
      <c r="AR1431" s="2" t="s">
        <v>2143</v>
      </c>
      <c r="AS1431" s="2" t="s">
        <v>252</v>
      </c>
      <c r="AT1431" s="2">
        <v>9</v>
      </c>
    </row>
    <row r="1432" spans="1:44" ht="12.75" customHeight="1">
      <c r="A1432" s="5">
        <v>42466</v>
      </c>
      <c r="C1432" s="2" t="s">
        <v>174</v>
      </c>
      <c r="E1432" s="18">
        <v>1</v>
      </c>
      <c r="F1432" s="18">
        <v>0</v>
      </c>
      <c r="G1432" s="18">
        <v>0</v>
      </c>
      <c r="H1432" s="18">
        <v>1</v>
      </c>
      <c r="I1432" s="18">
        <v>1</v>
      </c>
      <c r="J1432" s="18">
        <v>0</v>
      </c>
      <c r="K1432" s="18" t="s">
        <v>162</v>
      </c>
      <c r="T1432" s="3">
        <f t="shared" si="36"/>
        <v>3</v>
      </c>
      <c r="U1432" s="3">
        <v>6</v>
      </c>
      <c r="V1432" s="3">
        <v>1</v>
      </c>
      <c r="X1432" s="2" t="s">
        <v>2065</v>
      </c>
      <c r="Y1432" s="18">
        <v>0</v>
      </c>
      <c r="Z1432" s="18">
        <v>0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N1432" s="3">
        <f t="shared" si="37"/>
        <v>0</v>
      </c>
      <c r="AO1432" s="3">
        <v>2</v>
      </c>
      <c r="AP1432" s="3">
        <v>1</v>
      </c>
      <c r="AR1432" s="2" t="s">
        <v>2147</v>
      </c>
    </row>
    <row r="1433" spans="1:44" ht="12.75" customHeight="1">
      <c r="A1433" s="5">
        <v>42468</v>
      </c>
      <c r="B1433" s="2" t="s">
        <v>152</v>
      </c>
      <c r="C1433" s="2" t="s">
        <v>183</v>
      </c>
      <c r="E1433" s="18">
        <v>0</v>
      </c>
      <c r="F1433" s="18">
        <v>1</v>
      </c>
      <c r="G1433" s="18">
        <v>0</v>
      </c>
      <c r="H1433" s="18">
        <v>0</v>
      </c>
      <c r="I1433" s="18">
        <v>1</v>
      </c>
      <c r="J1433" s="18">
        <v>0</v>
      </c>
      <c r="K1433" s="18">
        <v>2</v>
      </c>
      <c r="T1433" s="3">
        <f t="shared" si="36"/>
        <v>4</v>
      </c>
      <c r="U1433" s="3">
        <v>8</v>
      </c>
      <c r="V1433" s="3">
        <v>4</v>
      </c>
      <c r="X1433" s="2" t="s">
        <v>2146</v>
      </c>
      <c r="Y1433" s="18">
        <v>1</v>
      </c>
      <c r="Z1433" s="18">
        <v>4</v>
      </c>
      <c r="AA1433" s="18">
        <v>1</v>
      </c>
      <c r="AB1433" s="18">
        <v>3</v>
      </c>
      <c r="AC1433" s="18">
        <v>0</v>
      </c>
      <c r="AD1433" s="18">
        <v>0</v>
      </c>
      <c r="AE1433" s="18" t="s">
        <v>162</v>
      </c>
      <c r="AN1433" s="3">
        <f t="shared" si="37"/>
        <v>9</v>
      </c>
      <c r="AO1433" s="3">
        <v>10</v>
      </c>
      <c r="AP1433" s="3">
        <v>1</v>
      </c>
      <c r="AR1433" s="2" t="s">
        <v>2107</v>
      </c>
    </row>
    <row r="1434" spans="1:44" ht="12.75" customHeight="1">
      <c r="A1434" s="5">
        <v>42473</v>
      </c>
      <c r="C1434" s="2" t="s">
        <v>374</v>
      </c>
      <c r="E1434" s="18">
        <v>0</v>
      </c>
      <c r="F1434" s="18">
        <v>0</v>
      </c>
      <c r="G1434" s="18">
        <v>1</v>
      </c>
      <c r="H1434" s="18">
        <v>0</v>
      </c>
      <c r="I1434" s="18">
        <v>0</v>
      </c>
      <c r="J1434" s="18">
        <v>0</v>
      </c>
      <c r="K1434" s="18">
        <v>0</v>
      </c>
      <c r="T1434" s="3">
        <f t="shared" si="36"/>
        <v>1</v>
      </c>
      <c r="U1434" s="3">
        <v>5</v>
      </c>
      <c r="V1434" s="3">
        <v>0</v>
      </c>
      <c r="X1434" s="2" t="s">
        <v>2065</v>
      </c>
      <c r="Y1434" s="18">
        <v>0</v>
      </c>
      <c r="Z1434" s="18">
        <v>0</v>
      </c>
      <c r="AA1434" s="18">
        <v>2</v>
      </c>
      <c r="AB1434" s="18">
        <v>0</v>
      </c>
      <c r="AC1434" s="18">
        <v>0</v>
      </c>
      <c r="AD1434" s="18">
        <v>0</v>
      </c>
      <c r="AE1434" s="18">
        <v>0</v>
      </c>
      <c r="AN1434" s="3">
        <f t="shared" si="37"/>
        <v>2</v>
      </c>
      <c r="AO1434" s="3">
        <v>5</v>
      </c>
      <c r="AP1434" s="3">
        <v>0</v>
      </c>
      <c r="AR1434" s="2" t="s">
        <v>2145</v>
      </c>
    </row>
    <row r="1435" spans="1:44" ht="12.75" customHeight="1">
      <c r="A1435" s="5">
        <v>42475</v>
      </c>
      <c r="B1435" s="2" t="s">
        <v>152</v>
      </c>
      <c r="C1435" s="2" t="s">
        <v>379</v>
      </c>
      <c r="E1435" s="18">
        <v>1</v>
      </c>
      <c r="F1435" s="18">
        <v>0</v>
      </c>
      <c r="G1435" s="18">
        <v>0</v>
      </c>
      <c r="H1435" s="18">
        <v>0</v>
      </c>
      <c r="I1435" s="18">
        <v>0</v>
      </c>
      <c r="J1435" s="18">
        <v>1</v>
      </c>
      <c r="K1435" s="18">
        <v>1</v>
      </c>
      <c r="L1435" s="18">
        <v>0</v>
      </c>
      <c r="T1435" s="3">
        <f t="shared" si="36"/>
        <v>3</v>
      </c>
      <c r="U1435" s="3">
        <v>3</v>
      </c>
      <c r="V1435" s="3">
        <v>1</v>
      </c>
      <c r="X1435" s="2" t="s">
        <v>2154</v>
      </c>
      <c r="Y1435" s="18">
        <v>0</v>
      </c>
      <c r="Z1435" s="18">
        <v>0</v>
      </c>
      <c r="AA1435" s="18">
        <v>0</v>
      </c>
      <c r="AB1435" s="18">
        <v>0</v>
      </c>
      <c r="AC1435" s="18">
        <v>1</v>
      </c>
      <c r="AD1435" s="18">
        <v>0</v>
      </c>
      <c r="AE1435" s="18">
        <v>2</v>
      </c>
      <c r="AF1435" s="18">
        <v>1</v>
      </c>
      <c r="AN1435" s="3">
        <f t="shared" si="37"/>
        <v>4</v>
      </c>
      <c r="AO1435" s="3">
        <v>13</v>
      </c>
      <c r="AP1435" s="3">
        <v>4</v>
      </c>
      <c r="AR1435" s="2" t="s">
        <v>2155</v>
      </c>
    </row>
    <row r="1436" spans="1:44" ht="12.75" customHeight="1">
      <c r="A1436" s="5">
        <v>42478</v>
      </c>
      <c r="C1436" s="2" t="s">
        <v>236</v>
      </c>
      <c r="E1436" s="18">
        <v>0</v>
      </c>
      <c r="F1436" s="18">
        <v>0</v>
      </c>
      <c r="G1436" s="18">
        <v>0</v>
      </c>
      <c r="H1436" s="18">
        <v>2</v>
      </c>
      <c r="I1436" s="18">
        <v>0</v>
      </c>
      <c r="J1436" s="18">
        <v>2</v>
      </c>
      <c r="K1436" s="18" t="s">
        <v>162</v>
      </c>
      <c r="T1436" s="3">
        <f t="shared" si="36"/>
        <v>4</v>
      </c>
      <c r="U1436" s="3">
        <v>8</v>
      </c>
      <c r="V1436" s="3">
        <v>1</v>
      </c>
      <c r="X1436" s="2" t="s">
        <v>2065</v>
      </c>
      <c r="Y1436" s="18">
        <v>0</v>
      </c>
      <c r="Z1436" s="18">
        <v>0</v>
      </c>
      <c r="AA1436" s="18">
        <v>0</v>
      </c>
      <c r="AB1436" s="18">
        <v>0</v>
      </c>
      <c r="AC1436" s="18">
        <v>0</v>
      </c>
      <c r="AD1436" s="18">
        <v>2</v>
      </c>
      <c r="AE1436" s="18">
        <v>0</v>
      </c>
      <c r="AN1436" s="3">
        <f t="shared" si="37"/>
        <v>2</v>
      </c>
      <c r="AO1436" s="3">
        <v>4</v>
      </c>
      <c r="AP1436" s="3">
        <v>2</v>
      </c>
      <c r="AR1436" s="2" t="s">
        <v>2153</v>
      </c>
    </row>
    <row r="1437" spans="1:44" ht="12.75" customHeight="1">
      <c r="A1437" s="5">
        <v>42479</v>
      </c>
      <c r="B1437" s="2" t="s">
        <v>152</v>
      </c>
      <c r="C1437" s="2" t="s">
        <v>192</v>
      </c>
      <c r="E1437" s="18">
        <v>0</v>
      </c>
      <c r="F1437" s="18">
        <v>0</v>
      </c>
      <c r="G1437" s="18">
        <v>0</v>
      </c>
      <c r="H1437" s="18">
        <v>0</v>
      </c>
      <c r="I1437" s="18">
        <v>0</v>
      </c>
      <c r="J1437" s="18">
        <v>7</v>
      </c>
      <c r="K1437" s="18">
        <v>0</v>
      </c>
      <c r="T1437" s="3">
        <f t="shared" si="36"/>
        <v>7</v>
      </c>
      <c r="U1437" s="3">
        <v>7</v>
      </c>
      <c r="V1437" s="3">
        <v>1</v>
      </c>
      <c r="X1437" s="2" t="s">
        <v>2151</v>
      </c>
      <c r="Y1437" s="18">
        <v>0</v>
      </c>
      <c r="Z1437" s="18">
        <v>0</v>
      </c>
      <c r="AA1437" s="18">
        <v>0</v>
      </c>
      <c r="AB1437" s="18">
        <v>0</v>
      </c>
      <c r="AC1437" s="18">
        <v>2</v>
      </c>
      <c r="AD1437" s="18">
        <v>0</v>
      </c>
      <c r="AE1437" s="18">
        <v>0</v>
      </c>
      <c r="AN1437" s="3">
        <f t="shared" si="37"/>
        <v>2</v>
      </c>
      <c r="AO1437" s="3">
        <v>5</v>
      </c>
      <c r="AP1437" s="3">
        <v>0</v>
      </c>
      <c r="AR1437" s="2" t="s">
        <v>2152</v>
      </c>
    </row>
    <row r="1438" spans="1:44" ht="12.75" customHeight="1">
      <c r="A1438" s="5">
        <v>42481</v>
      </c>
      <c r="B1438" s="2" t="s">
        <v>152</v>
      </c>
      <c r="C1438" s="2" t="s">
        <v>943</v>
      </c>
      <c r="E1438" s="18">
        <v>0</v>
      </c>
      <c r="F1438" s="18">
        <v>0</v>
      </c>
      <c r="G1438" s="18">
        <v>0</v>
      </c>
      <c r="H1438" s="18">
        <v>0</v>
      </c>
      <c r="I1438" s="18">
        <v>0</v>
      </c>
      <c r="J1438" s="18">
        <v>0</v>
      </c>
      <c r="K1438" s="18">
        <v>0</v>
      </c>
      <c r="T1438" s="3">
        <f t="shared" si="36"/>
        <v>0</v>
      </c>
      <c r="U1438" s="3">
        <v>3</v>
      </c>
      <c r="V1438" s="3">
        <v>1</v>
      </c>
      <c r="X1438" s="2" t="s">
        <v>2149</v>
      </c>
      <c r="Y1438" s="18">
        <v>4</v>
      </c>
      <c r="Z1438" s="18">
        <v>0</v>
      </c>
      <c r="AA1438" s="18">
        <v>0</v>
      </c>
      <c r="AB1438" s="18">
        <v>0</v>
      </c>
      <c r="AC1438" s="18">
        <v>1</v>
      </c>
      <c r="AD1438" s="18">
        <v>1</v>
      </c>
      <c r="AE1438" s="18" t="s">
        <v>162</v>
      </c>
      <c r="AN1438" s="3">
        <f t="shared" si="37"/>
        <v>6</v>
      </c>
      <c r="AO1438" s="3">
        <v>4</v>
      </c>
      <c r="AP1438" s="3">
        <v>0</v>
      </c>
      <c r="AR1438" s="2" t="s">
        <v>2150</v>
      </c>
    </row>
    <row r="1439" spans="1:44" ht="12.75" customHeight="1">
      <c r="A1439" s="5">
        <v>42483</v>
      </c>
      <c r="B1439" s="2" t="s">
        <v>152</v>
      </c>
      <c r="C1439" s="2" t="s">
        <v>297</v>
      </c>
      <c r="E1439" s="18">
        <v>1</v>
      </c>
      <c r="F1439" s="18">
        <v>0</v>
      </c>
      <c r="G1439" s="18">
        <v>0</v>
      </c>
      <c r="H1439" s="18">
        <v>1</v>
      </c>
      <c r="I1439" s="18">
        <v>0</v>
      </c>
      <c r="J1439" s="18">
        <v>3</v>
      </c>
      <c r="K1439" s="18">
        <v>2</v>
      </c>
      <c r="T1439" s="3">
        <f aca="true" t="shared" si="38" ref="T1439:T1448">SUM(E1439:S1439)</f>
        <v>7</v>
      </c>
      <c r="U1439" s="3">
        <v>11</v>
      </c>
      <c r="V1439" s="3">
        <v>0</v>
      </c>
      <c r="X1439" s="2" t="s">
        <v>2065</v>
      </c>
      <c r="Y1439" s="18">
        <v>0</v>
      </c>
      <c r="Z1439" s="18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0</v>
      </c>
      <c r="AN1439" s="3">
        <f aca="true" t="shared" si="39" ref="AN1439:AN1448">SUM(Y1439:AM1439)</f>
        <v>0</v>
      </c>
      <c r="AO1439" s="3">
        <v>3</v>
      </c>
      <c r="AP1439" s="3">
        <v>2</v>
      </c>
      <c r="AR1439" s="2" t="s">
        <v>2148</v>
      </c>
    </row>
    <row r="1440" spans="1:44" ht="12.75" customHeight="1">
      <c r="A1440" s="5">
        <v>42486</v>
      </c>
      <c r="B1440" s="2" t="s">
        <v>152</v>
      </c>
      <c r="C1440" s="2" t="s">
        <v>305</v>
      </c>
      <c r="E1440" s="18">
        <v>1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1</v>
      </c>
      <c r="T1440" s="3">
        <f t="shared" si="38"/>
        <v>2</v>
      </c>
      <c r="U1440" s="3">
        <v>7</v>
      </c>
      <c r="V1440" s="3">
        <v>1</v>
      </c>
      <c r="X1440" s="2" t="s">
        <v>2165</v>
      </c>
      <c r="Y1440" s="18">
        <v>1</v>
      </c>
      <c r="Z1440" s="18">
        <v>0</v>
      </c>
      <c r="AA1440" s="18">
        <v>1</v>
      </c>
      <c r="AB1440" s="18">
        <v>1</v>
      </c>
      <c r="AC1440" s="18">
        <v>2</v>
      </c>
      <c r="AD1440" s="18">
        <v>0</v>
      </c>
      <c r="AE1440" s="18" t="s">
        <v>162</v>
      </c>
      <c r="AN1440" s="3">
        <f t="shared" si="39"/>
        <v>5</v>
      </c>
      <c r="AO1440" s="3">
        <v>8</v>
      </c>
      <c r="AP1440" s="3">
        <v>1</v>
      </c>
      <c r="AR1440" s="2" t="s">
        <v>2166</v>
      </c>
    </row>
    <row r="1441" spans="1:44" ht="12.75" customHeight="1">
      <c r="A1441" s="5">
        <v>42493</v>
      </c>
      <c r="B1441" s="2" t="s">
        <v>152</v>
      </c>
      <c r="C1441" s="2" t="s">
        <v>169</v>
      </c>
      <c r="E1441" s="18">
        <v>1</v>
      </c>
      <c r="F1441" s="18">
        <v>4</v>
      </c>
      <c r="G1441" s="18">
        <v>0</v>
      </c>
      <c r="H1441" s="18">
        <v>1</v>
      </c>
      <c r="I1441" s="18">
        <v>3</v>
      </c>
      <c r="J1441" s="18">
        <v>4</v>
      </c>
      <c r="T1441" s="3">
        <f t="shared" si="38"/>
        <v>13</v>
      </c>
      <c r="U1441" s="3">
        <v>14</v>
      </c>
      <c r="V1441" s="3">
        <v>1</v>
      </c>
      <c r="X1441" s="2" t="s">
        <v>2138</v>
      </c>
      <c r="Y1441" s="18">
        <v>0</v>
      </c>
      <c r="Z1441" s="18">
        <v>0</v>
      </c>
      <c r="AA1441" s="18">
        <v>0</v>
      </c>
      <c r="AB1441" s="18">
        <v>0</v>
      </c>
      <c r="AC1441" s="18">
        <v>0</v>
      </c>
      <c r="AD1441" s="18">
        <v>0</v>
      </c>
      <c r="AN1441" s="3">
        <f t="shared" si="39"/>
        <v>0</v>
      </c>
      <c r="AO1441" s="3">
        <v>2</v>
      </c>
      <c r="AP1441" s="3">
        <v>5</v>
      </c>
      <c r="AR1441" s="2" t="s">
        <v>2164</v>
      </c>
    </row>
    <row r="1442" spans="1:44" ht="12.75" customHeight="1">
      <c r="A1442" s="5">
        <v>42494</v>
      </c>
      <c r="C1442" s="2" t="s">
        <v>297</v>
      </c>
      <c r="E1442" s="18">
        <v>1</v>
      </c>
      <c r="F1442" s="18">
        <v>0</v>
      </c>
      <c r="G1442" s="18">
        <v>5</v>
      </c>
      <c r="H1442" s="18">
        <v>0</v>
      </c>
      <c r="I1442" s="18">
        <v>0</v>
      </c>
      <c r="J1442" s="18">
        <v>0</v>
      </c>
      <c r="K1442" s="18" t="s">
        <v>162</v>
      </c>
      <c r="T1442" s="3">
        <f t="shared" si="38"/>
        <v>6</v>
      </c>
      <c r="U1442" s="3">
        <v>9</v>
      </c>
      <c r="V1442" s="3">
        <v>2</v>
      </c>
      <c r="X1442" s="2" t="s">
        <v>2065</v>
      </c>
      <c r="Y1442" s="18">
        <v>0</v>
      </c>
      <c r="Z1442" s="18">
        <v>0</v>
      </c>
      <c r="AA1442" s="18">
        <v>2</v>
      </c>
      <c r="AB1442" s="18">
        <v>2</v>
      </c>
      <c r="AC1442" s="18">
        <v>0</v>
      </c>
      <c r="AD1442" s="18">
        <v>0</v>
      </c>
      <c r="AE1442" s="18">
        <v>0</v>
      </c>
      <c r="AN1442" s="3">
        <f t="shared" si="39"/>
        <v>4</v>
      </c>
      <c r="AO1442" s="3">
        <v>8</v>
      </c>
      <c r="AP1442" s="3">
        <v>2</v>
      </c>
      <c r="AR1442" s="2" t="s">
        <v>2163</v>
      </c>
    </row>
    <row r="1443" spans="1:44" ht="12.75" customHeight="1">
      <c r="A1443" s="5">
        <v>42495</v>
      </c>
      <c r="B1443" s="2" t="s">
        <v>152</v>
      </c>
      <c r="C1443" s="2" t="s">
        <v>374</v>
      </c>
      <c r="E1443" s="18">
        <v>0</v>
      </c>
      <c r="F1443" s="18">
        <v>0</v>
      </c>
      <c r="G1443" s="18">
        <v>1</v>
      </c>
      <c r="H1443" s="18">
        <v>0</v>
      </c>
      <c r="I1443" s="18">
        <v>0</v>
      </c>
      <c r="J1443" s="18">
        <v>1</v>
      </c>
      <c r="K1443" s="18">
        <v>0</v>
      </c>
      <c r="T1443" s="3">
        <f t="shared" si="38"/>
        <v>2</v>
      </c>
      <c r="U1443" s="3">
        <v>5</v>
      </c>
      <c r="V1443" s="3">
        <v>4</v>
      </c>
      <c r="X1443" s="2" t="s">
        <v>2161</v>
      </c>
      <c r="Y1443" s="18">
        <v>1</v>
      </c>
      <c r="Z1443" s="18">
        <v>2</v>
      </c>
      <c r="AA1443" s="18">
        <v>1</v>
      </c>
      <c r="AB1443" s="18">
        <v>0</v>
      </c>
      <c r="AC1443" s="18">
        <v>1</v>
      </c>
      <c r="AD1443" s="18">
        <v>0</v>
      </c>
      <c r="AE1443" s="18" t="s">
        <v>162</v>
      </c>
      <c r="AN1443" s="3">
        <f t="shared" si="39"/>
        <v>5</v>
      </c>
      <c r="AO1443" s="3">
        <v>7</v>
      </c>
      <c r="AP1443" s="3">
        <v>2</v>
      </c>
      <c r="AR1443" s="2" t="s">
        <v>2162</v>
      </c>
    </row>
    <row r="1444" spans="1:44" ht="12.75" customHeight="1">
      <c r="A1444" s="5">
        <v>42500</v>
      </c>
      <c r="C1444" s="2" t="s">
        <v>379</v>
      </c>
      <c r="E1444" s="18">
        <v>2</v>
      </c>
      <c r="F1444" s="18">
        <v>2</v>
      </c>
      <c r="G1444" s="18">
        <v>0</v>
      </c>
      <c r="H1444" s="18">
        <v>1</v>
      </c>
      <c r="I1444" s="18">
        <v>1</v>
      </c>
      <c r="J1444" s="18">
        <v>5</v>
      </c>
      <c r="K1444" s="18" t="s">
        <v>162</v>
      </c>
      <c r="T1444" s="3">
        <f t="shared" si="38"/>
        <v>11</v>
      </c>
      <c r="U1444" s="3">
        <v>8</v>
      </c>
      <c r="V1444" s="3">
        <v>4</v>
      </c>
      <c r="X1444" s="2" t="s">
        <v>2159</v>
      </c>
      <c r="Y1444" s="18">
        <v>2</v>
      </c>
      <c r="Z1444" s="18">
        <v>1</v>
      </c>
      <c r="AA1444" s="18">
        <v>1</v>
      </c>
      <c r="AB1444" s="18">
        <v>0</v>
      </c>
      <c r="AC1444" s="18">
        <v>2</v>
      </c>
      <c r="AD1444" s="18">
        <v>1</v>
      </c>
      <c r="AE1444" s="18">
        <v>0</v>
      </c>
      <c r="AN1444" s="3">
        <f t="shared" si="39"/>
        <v>7</v>
      </c>
      <c r="AO1444" s="3">
        <v>12</v>
      </c>
      <c r="AP1444" s="3">
        <v>4</v>
      </c>
      <c r="AR1444" s="2" t="s">
        <v>2160</v>
      </c>
    </row>
    <row r="1445" spans="1:44" ht="12.75" customHeight="1">
      <c r="A1445" s="5">
        <v>42501</v>
      </c>
      <c r="B1445" s="2" t="s">
        <v>152</v>
      </c>
      <c r="C1445" s="2" t="s">
        <v>174</v>
      </c>
      <c r="E1445" s="18">
        <v>0</v>
      </c>
      <c r="F1445" s="18">
        <v>0</v>
      </c>
      <c r="G1445" s="18">
        <v>1</v>
      </c>
      <c r="H1445" s="18">
        <v>1</v>
      </c>
      <c r="I1445" s="18">
        <v>1</v>
      </c>
      <c r="J1445" s="18">
        <v>0</v>
      </c>
      <c r="K1445" s="18">
        <v>0</v>
      </c>
      <c r="L1445" s="18">
        <v>0</v>
      </c>
      <c r="T1445" s="3">
        <f t="shared" si="38"/>
        <v>3</v>
      </c>
      <c r="U1445" s="3">
        <v>6</v>
      </c>
      <c r="V1445" s="3">
        <v>1</v>
      </c>
      <c r="X1445" s="2" t="s">
        <v>2173</v>
      </c>
      <c r="Y1445" s="18">
        <v>1</v>
      </c>
      <c r="Z1445" s="18">
        <v>0</v>
      </c>
      <c r="AA1445" s="18">
        <v>0</v>
      </c>
      <c r="AB1445" s="18">
        <v>0</v>
      </c>
      <c r="AC1445" s="18">
        <v>0</v>
      </c>
      <c r="AD1445" s="18">
        <v>2</v>
      </c>
      <c r="AE1445" s="18">
        <v>0</v>
      </c>
      <c r="AF1445" s="18">
        <v>1</v>
      </c>
      <c r="AN1445" s="3">
        <f t="shared" si="39"/>
        <v>4</v>
      </c>
      <c r="AO1445" s="3">
        <v>11</v>
      </c>
      <c r="AP1445" s="3">
        <v>4</v>
      </c>
      <c r="AR1445" s="2" t="s">
        <v>2158</v>
      </c>
    </row>
    <row r="1446" spans="1:44" ht="12.75" customHeight="1">
      <c r="A1446" s="5">
        <v>42503</v>
      </c>
      <c r="B1446" s="2" t="s">
        <v>152</v>
      </c>
      <c r="C1446" s="2" t="s">
        <v>236</v>
      </c>
      <c r="E1446" s="18">
        <v>0</v>
      </c>
      <c r="F1446" s="18">
        <v>0</v>
      </c>
      <c r="G1446" s="18">
        <v>0</v>
      </c>
      <c r="H1446" s="18">
        <v>0</v>
      </c>
      <c r="I1446" s="18">
        <v>0</v>
      </c>
      <c r="J1446" s="18">
        <v>0</v>
      </c>
      <c r="K1446" s="18">
        <v>0</v>
      </c>
      <c r="T1446" s="3">
        <f t="shared" si="38"/>
        <v>0</v>
      </c>
      <c r="U1446" s="3">
        <v>7</v>
      </c>
      <c r="V1446" s="3">
        <v>1</v>
      </c>
      <c r="X1446" s="2" t="s">
        <v>2156</v>
      </c>
      <c r="Y1446" s="18">
        <v>0</v>
      </c>
      <c r="Z1446" s="18">
        <v>0</v>
      </c>
      <c r="AA1446" s="18">
        <v>2</v>
      </c>
      <c r="AB1446" s="18">
        <v>0</v>
      </c>
      <c r="AC1446" s="18">
        <v>0</v>
      </c>
      <c r="AD1446" s="18">
        <v>2</v>
      </c>
      <c r="AE1446" s="18" t="s">
        <v>162</v>
      </c>
      <c r="AN1446" s="3">
        <f t="shared" si="39"/>
        <v>4</v>
      </c>
      <c r="AO1446" s="3">
        <v>6</v>
      </c>
      <c r="AP1446" s="3">
        <v>1</v>
      </c>
      <c r="AR1446" s="2" t="s">
        <v>2157</v>
      </c>
    </row>
    <row r="1447" spans="1:44" ht="12.75" customHeight="1">
      <c r="A1447" s="5">
        <v>42507</v>
      </c>
      <c r="C1447" s="2" t="s">
        <v>191</v>
      </c>
      <c r="E1447" s="18">
        <v>4</v>
      </c>
      <c r="F1447" s="18">
        <v>0</v>
      </c>
      <c r="G1447" s="18">
        <v>0</v>
      </c>
      <c r="H1447" s="18">
        <v>0</v>
      </c>
      <c r="I1447" s="18">
        <v>0</v>
      </c>
      <c r="J1447" s="18">
        <v>0</v>
      </c>
      <c r="K1447" s="18" t="s">
        <v>162</v>
      </c>
      <c r="T1447" s="3">
        <f t="shared" si="38"/>
        <v>4</v>
      </c>
      <c r="U1447" s="3">
        <v>5</v>
      </c>
      <c r="V1447" s="3">
        <v>1</v>
      </c>
      <c r="X1447" s="2" t="s">
        <v>2065</v>
      </c>
      <c r="Y1447" s="18">
        <v>0</v>
      </c>
      <c r="Z1447" s="18">
        <v>0</v>
      </c>
      <c r="AA1447" s="18">
        <v>1</v>
      </c>
      <c r="AB1447" s="18">
        <v>0</v>
      </c>
      <c r="AC1447" s="18">
        <v>0</v>
      </c>
      <c r="AD1447" s="18">
        <v>0</v>
      </c>
      <c r="AE1447" s="18">
        <v>0</v>
      </c>
      <c r="AN1447" s="3">
        <f t="shared" si="39"/>
        <v>1</v>
      </c>
      <c r="AO1447" s="3">
        <v>6</v>
      </c>
      <c r="AP1447" s="3">
        <v>1</v>
      </c>
      <c r="AR1447" s="2" t="s">
        <v>2172</v>
      </c>
    </row>
    <row r="1448" spans="1:44" ht="12.75" customHeight="1">
      <c r="A1448" s="5">
        <v>42509</v>
      </c>
      <c r="C1448" s="2" t="s">
        <v>169</v>
      </c>
      <c r="E1448" s="18">
        <v>2</v>
      </c>
      <c r="F1448" s="18">
        <v>0</v>
      </c>
      <c r="G1448" s="18">
        <v>5</v>
      </c>
      <c r="H1448" s="18">
        <v>0</v>
      </c>
      <c r="I1448" s="18">
        <v>0</v>
      </c>
      <c r="J1448" s="18">
        <v>2</v>
      </c>
      <c r="K1448" s="18" t="s">
        <v>162</v>
      </c>
      <c r="T1448" s="3">
        <f t="shared" si="38"/>
        <v>9</v>
      </c>
      <c r="U1448" s="3">
        <v>11</v>
      </c>
      <c r="V1448" s="3">
        <v>2</v>
      </c>
      <c r="X1448" s="2" t="s">
        <v>2171</v>
      </c>
      <c r="Y1448" s="18">
        <v>0</v>
      </c>
      <c r="Z1448" s="18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N1448" s="3">
        <f t="shared" si="39"/>
        <v>0</v>
      </c>
      <c r="AO1448" s="3">
        <v>4</v>
      </c>
      <c r="AP1448" s="3">
        <v>3</v>
      </c>
      <c r="AR1448" s="2" t="s">
        <v>2170</v>
      </c>
    </row>
    <row r="1449" spans="1:44" ht="12.75" customHeight="1">
      <c r="A1449" s="5">
        <v>42514</v>
      </c>
      <c r="C1449" s="2" t="s">
        <v>138</v>
      </c>
      <c r="D1449" s="2" t="s">
        <v>258</v>
      </c>
      <c r="E1449" s="18">
        <v>0</v>
      </c>
      <c r="F1449" s="18">
        <v>1</v>
      </c>
      <c r="G1449" s="18">
        <v>1</v>
      </c>
      <c r="H1449" s="18">
        <v>3</v>
      </c>
      <c r="I1449" s="18">
        <v>3</v>
      </c>
      <c r="J1449" s="18">
        <v>1</v>
      </c>
      <c r="K1449" s="18" t="s">
        <v>162</v>
      </c>
      <c r="T1449" s="3">
        <f>SUM(E1449:S1449)</f>
        <v>9</v>
      </c>
      <c r="U1449" s="3">
        <v>11</v>
      </c>
      <c r="V1449" s="3">
        <v>1</v>
      </c>
      <c r="X1449" s="2" t="s">
        <v>2065</v>
      </c>
      <c r="Y1449" s="18">
        <v>0</v>
      </c>
      <c r="Z1449" s="18">
        <v>0</v>
      </c>
      <c r="AA1449" s="18">
        <v>0</v>
      </c>
      <c r="AB1449" s="18">
        <v>0</v>
      </c>
      <c r="AC1449" s="18">
        <v>0</v>
      </c>
      <c r="AD1449" s="18">
        <v>0</v>
      </c>
      <c r="AE1449" s="18">
        <v>0</v>
      </c>
      <c r="AN1449" s="3">
        <f>SUM(Y1449:AM1449)</f>
        <v>0</v>
      </c>
      <c r="AO1449" s="3">
        <v>2</v>
      </c>
      <c r="AP1449" s="3">
        <v>0</v>
      </c>
      <c r="AR1449" s="2" t="s">
        <v>2169</v>
      </c>
    </row>
    <row r="1450" spans="1:44" ht="12.75" customHeight="1">
      <c r="A1450" s="5">
        <v>42516</v>
      </c>
      <c r="B1450" s="2" t="s">
        <v>239</v>
      </c>
      <c r="C1450" s="2" t="s">
        <v>183</v>
      </c>
      <c r="D1450" s="2" t="s">
        <v>258</v>
      </c>
      <c r="E1450" s="18">
        <v>0</v>
      </c>
      <c r="F1450" s="18">
        <v>0</v>
      </c>
      <c r="G1450" s="18">
        <v>1</v>
      </c>
      <c r="H1450" s="18">
        <v>0</v>
      </c>
      <c r="I1450" s="18">
        <v>0</v>
      </c>
      <c r="J1450" s="18">
        <v>0</v>
      </c>
      <c r="K1450" s="18">
        <v>0</v>
      </c>
      <c r="T1450" s="3">
        <f>SUM(E1450:S1450)</f>
        <v>1</v>
      </c>
      <c r="U1450" s="3">
        <v>3</v>
      </c>
      <c r="V1450" s="3">
        <v>2</v>
      </c>
      <c r="X1450" s="2" t="s">
        <v>2167</v>
      </c>
      <c r="Y1450" s="18">
        <v>0</v>
      </c>
      <c r="Z1450" s="18">
        <v>3</v>
      </c>
      <c r="AA1450" s="18">
        <v>2</v>
      </c>
      <c r="AB1450" s="18">
        <v>1</v>
      </c>
      <c r="AC1450" s="18">
        <v>1</v>
      </c>
      <c r="AD1450" s="18">
        <v>1</v>
      </c>
      <c r="AE1450" s="18" t="s">
        <v>162</v>
      </c>
      <c r="AN1450" s="3">
        <f>SUM(Y1450:AM1450)</f>
        <v>8</v>
      </c>
      <c r="AO1450" s="3">
        <v>10</v>
      </c>
      <c r="AP1450" s="3">
        <v>2</v>
      </c>
      <c r="AR1450" s="2" t="s">
        <v>2168</v>
      </c>
    </row>
    <row r="1451" ht="12.75" customHeight="1"/>
    <row r="1452" spans="1:45" ht="12.75" customHeight="1">
      <c r="A1452" s="5">
        <v>42824</v>
      </c>
      <c r="B1452" s="2" t="s">
        <v>152</v>
      </c>
      <c r="C1452" s="2" t="s">
        <v>305</v>
      </c>
      <c r="E1452" s="18">
        <v>0</v>
      </c>
      <c r="F1452" s="18">
        <v>0</v>
      </c>
      <c r="G1452" s="18">
        <v>3</v>
      </c>
      <c r="H1452" s="18">
        <v>1</v>
      </c>
      <c r="I1452" s="18">
        <v>3</v>
      </c>
      <c r="J1452" s="18">
        <v>0</v>
      </c>
      <c r="T1452" s="3">
        <f aca="true" t="shared" si="40" ref="T1452:T1474">SUM(E1452:S1452)</f>
        <v>7</v>
      </c>
      <c r="U1452" s="3">
        <v>4</v>
      </c>
      <c r="V1452" s="3">
        <v>4</v>
      </c>
      <c r="X1452" s="2" t="s">
        <v>2204</v>
      </c>
      <c r="Y1452" s="18">
        <v>1</v>
      </c>
      <c r="Z1452" s="18">
        <v>0</v>
      </c>
      <c r="AA1452" s="18">
        <v>2</v>
      </c>
      <c r="AB1452" s="18">
        <v>1</v>
      </c>
      <c r="AC1452" s="18">
        <v>0</v>
      </c>
      <c r="AD1452" s="18">
        <v>1</v>
      </c>
      <c r="AE1452" s="18">
        <v>0</v>
      </c>
      <c r="AN1452" s="3">
        <f aca="true" t="shared" si="41" ref="AN1452:AN1474">SUM(Y1452:AM1452)</f>
        <v>5</v>
      </c>
      <c r="AO1452" s="3">
        <v>8</v>
      </c>
      <c r="AP1452" s="3">
        <v>2</v>
      </c>
      <c r="AR1452" s="2" t="s">
        <v>2206</v>
      </c>
      <c r="AS1452" s="2" t="s">
        <v>1848</v>
      </c>
    </row>
    <row r="1453" spans="1:46" ht="12.75" customHeight="1">
      <c r="A1453" s="5">
        <v>42830</v>
      </c>
      <c r="B1453" s="2" t="s">
        <v>152</v>
      </c>
      <c r="C1453" s="2" t="s">
        <v>174</v>
      </c>
      <c r="E1453" s="18">
        <v>0</v>
      </c>
      <c r="F1453" s="18">
        <v>0</v>
      </c>
      <c r="G1453" s="18">
        <v>0</v>
      </c>
      <c r="H1453" s="18">
        <v>0</v>
      </c>
      <c r="I1453" s="18">
        <v>0</v>
      </c>
      <c r="J1453" s="18">
        <v>0</v>
      </c>
      <c r="T1453" s="3">
        <f t="shared" si="40"/>
        <v>0</v>
      </c>
      <c r="U1453" s="3">
        <v>2</v>
      </c>
      <c r="V1453" s="3">
        <v>3</v>
      </c>
      <c r="X1453" s="2" t="s">
        <v>2204</v>
      </c>
      <c r="Y1453" s="18">
        <v>1</v>
      </c>
      <c r="Z1453" s="18">
        <v>1</v>
      </c>
      <c r="AA1453" s="18">
        <v>0</v>
      </c>
      <c r="AB1453" s="18">
        <v>2</v>
      </c>
      <c r="AC1453" s="18">
        <v>4</v>
      </c>
      <c r="AD1453" s="18">
        <v>2</v>
      </c>
      <c r="AN1453" s="3">
        <f t="shared" si="41"/>
        <v>10</v>
      </c>
      <c r="AO1453" s="3">
        <v>13</v>
      </c>
      <c r="AP1453" s="3">
        <v>2</v>
      </c>
      <c r="AR1453" s="2" t="s">
        <v>2205</v>
      </c>
      <c r="AS1453" s="2" t="s">
        <v>124</v>
      </c>
      <c r="AT1453" s="2">
        <v>8</v>
      </c>
    </row>
    <row r="1454" spans="1:45" ht="12.75" customHeight="1">
      <c r="A1454" s="5">
        <v>42833</v>
      </c>
      <c r="B1454" s="2" t="s">
        <v>152</v>
      </c>
      <c r="C1454" s="2" t="s">
        <v>943</v>
      </c>
      <c r="E1454" s="18">
        <v>0</v>
      </c>
      <c r="F1454" s="18">
        <v>0</v>
      </c>
      <c r="G1454" s="18">
        <v>0</v>
      </c>
      <c r="H1454" s="18">
        <v>0</v>
      </c>
      <c r="I1454" s="18">
        <v>0</v>
      </c>
      <c r="J1454" s="18">
        <v>2</v>
      </c>
      <c r="K1454" s="18">
        <v>0</v>
      </c>
      <c r="T1454" s="3">
        <f t="shared" si="40"/>
        <v>2</v>
      </c>
      <c r="U1454" s="3">
        <v>4</v>
      </c>
      <c r="V1454" s="3">
        <v>3</v>
      </c>
      <c r="X1454" s="2" t="s">
        <v>2202</v>
      </c>
      <c r="Y1454" s="18">
        <v>2</v>
      </c>
      <c r="Z1454" s="18">
        <v>0</v>
      </c>
      <c r="AA1454" s="18">
        <v>3</v>
      </c>
      <c r="AB1454" s="18">
        <v>0</v>
      </c>
      <c r="AC1454" s="18">
        <v>0</v>
      </c>
      <c r="AD1454" s="18">
        <v>3</v>
      </c>
      <c r="AE1454" s="18" t="s">
        <v>162</v>
      </c>
      <c r="AN1454" s="3">
        <f t="shared" si="41"/>
        <v>8</v>
      </c>
      <c r="AO1454" s="3">
        <v>9</v>
      </c>
      <c r="AP1454" s="3">
        <v>4</v>
      </c>
      <c r="AR1454" s="2" t="s">
        <v>2203</v>
      </c>
      <c r="AS1454" s="2" t="s">
        <v>2330</v>
      </c>
    </row>
    <row r="1455" spans="1:44" ht="12.75" customHeight="1">
      <c r="A1455" s="5">
        <v>42835</v>
      </c>
      <c r="C1455" s="2" t="s">
        <v>374</v>
      </c>
      <c r="E1455" s="18">
        <v>1</v>
      </c>
      <c r="F1455" s="18">
        <v>0</v>
      </c>
      <c r="G1455" s="18">
        <v>0</v>
      </c>
      <c r="H1455" s="18">
        <v>0</v>
      </c>
      <c r="I1455" s="18">
        <v>0</v>
      </c>
      <c r="J1455" s="18">
        <v>0</v>
      </c>
      <c r="K1455" s="18">
        <v>0</v>
      </c>
      <c r="T1455" s="3">
        <f t="shared" si="40"/>
        <v>1</v>
      </c>
      <c r="U1455" s="3">
        <v>3</v>
      </c>
      <c r="V1455" s="3">
        <v>1</v>
      </c>
      <c r="X1455" s="2" t="s">
        <v>2200</v>
      </c>
      <c r="Y1455" s="18">
        <v>0</v>
      </c>
      <c r="Z1455" s="18">
        <v>0</v>
      </c>
      <c r="AA1455" s="18">
        <v>0</v>
      </c>
      <c r="AB1455" s="18">
        <v>1</v>
      </c>
      <c r="AC1455" s="18">
        <v>0</v>
      </c>
      <c r="AD1455" s="18">
        <v>0</v>
      </c>
      <c r="AE1455" s="18">
        <v>1</v>
      </c>
      <c r="AN1455" s="3">
        <f t="shared" si="41"/>
        <v>2</v>
      </c>
      <c r="AO1455" s="3">
        <v>4</v>
      </c>
      <c r="AP1455" s="3">
        <v>0</v>
      </c>
      <c r="AR1455" s="2" t="s">
        <v>2201</v>
      </c>
    </row>
    <row r="1456" spans="1:44" ht="12.75" customHeight="1">
      <c r="A1456" s="5">
        <v>42836</v>
      </c>
      <c r="C1456" s="2" t="s">
        <v>169</v>
      </c>
      <c r="E1456" s="18">
        <v>1</v>
      </c>
      <c r="F1456" s="18">
        <v>6</v>
      </c>
      <c r="G1456" s="18">
        <v>0</v>
      </c>
      <c r="H1456" s="18">
        <v>3</v>
      </c>
      <c r="I1456" s="18">
        <v>0</v>
      </c>
      <c r="J1456" s="18">
        <v>0</v>
      </c>
      <c r="K1456" s="18" t="s">
        <v>162</v>
      </c>
      <c r="T1456" s="3">
        <f t="shared" si="40"/>
        <v>10</v>
      </c>
      <c r="U1456" s="3">
        <v>8</v>
      </c>
      <c r="V1456" s="3">
        <v>3</v>
      </c>
      <c r="X1456" s="2" t="s">
        <v>2156</v>
      </c>
      <c r="Y1456" s="18">
        <v>0</v>
      </c>
      <c r="Z1456" s="18">
        <v>2</v>
      </c>
      <c r="AA1456" s="18">
        <v>0</v>
      </c>
      <c r="AB1456" s="18">
        <v>0</v>
      </c>
      <c r="AC1456" s="18">
        <v>0</v>
      </c>
      <c r="AD1456" s="18">
        <v>0</v>
      </c>
      <c r="AE1456" s="18">
        <v>0</v>
      </c>
      <c r="AN1456" s="3">
        <f t="shared" si="41"/>
        <v>2</v>
      </c>
      <c r="AO1456" s="3">
        <v>7</v>
      </c>
      <c r="AP1456" s="3">
        <v>2</v>
      </c>
      <c r="AR1456" s="2" t="s">
        <v>2199</v>
      </c>
    </row>
    <row r="1457" spans="1:44" ht="12.75" customHeight="1">
      <c r="A1457" s="5">
        <v>42838</v>
      </c>
      <c r="C1457" s="2" t="s">
        <v>379</v>
      </c>
      <c r="E1457" s="18">
        <v>0</v>
      </c>
      <c r="F1457" s="18">
        <v>1</v>
      </c>
      <c r="G1457" s="18">
        <v>0</v>
      </c>
      <c r="H1457" s="18">
        <v>0</v>
      </c>
      <c r="I1457" s="18">
        <v>2</v>
      </c>
      <c r="J1457" s="18">
        <v>3</v>
      </c>
      <c r="K1457" s="18" t="s">
        <v>162</v>
      </c>
      <c r="T1457" s="3">
        <f t="shared" si="40"/>
        <v>6</v>
      </c>
      <c r="U1457" s="3">
        <v>7</v>
      </c>
      <c r="V1457" s="3">
        <v>2</v>
      </c>
      <c r="X1457" s="2" t="s">
        <v>2193</v>
      </c>
      <c r="Y1457" s="18">
        <v>0</v>
      </c>
      <c r="Z1457" s="18">
        <v>0</v>
      </c>
      <c r="AA1457" s="18">
        <v>2</v>
      </c>
      <c r="AB1457" s="18">
        <v>1</v>
      </c>
      <c r="AC1457" s="18">
        <v>0</v>
      </c>
      <c r="AD1457" s="18">
        <v>0</v>
      </c>
      <c r="AE1457" s="18">
        <v>0</v>
      </c>
      <c r="AN1457" s="3">
        <f t="shared" si="41"/>
        <v>3</v>
      </c>
      <c r="AO1457" s="3">
        <v>3</v>
      </c>
      <c r="AP1457" s="3">
        <v>4</v>
      </c>
      <c r="AR1457" s="2" t="s">
        <v>2198</v>
      </c>
    </row>
    <row r="1458" spans="1:44" ht="12.75" customHeight="1">
      <c r="A1458" s="5">
        <v>42842</v>
      </c>
      <c r="C1458" s="2" t="s">
        <v>943</v>
      </c>
      <c r="E1458" s="18">
        <v>1</v>
      </c>
      <c r="F1458" s="18">
        <v>0</v>
      </c>
      <c r="G1458" s="18">
        <v>0</v>
      </c>
      <c r="H1458" s="18">
        <v>0</v>
      </c>
      <c r="I1458" s="18">
        <v>0</v>
      </c>
      <c r="J1458" s="18">
        <v>0</v>
      </c>
      <c r="K1458" s="18">
        <v>1</v>
      </c>
      <c r="L1458" s="18">
        <v>1</v>
      </c>
      <c r="T1458" s="3">
        <f t="shared" si="40"/>
        <v>3</v>
      </c>
      <c r="U1458" s="3">
        <v>6</v>
      </c>
      <c r="V1458" s="3">
        <v>2</v>
      </c>
      <c r="X1458" s="2" t="s">
        <v>2196</v>
      </c>
      <c r="Y1458" s="18">
        <v>0</v>
      </c>
      <c r="Z1458" s="18">
        <v>0</v>
      </c>
      <c r="AA1458" s="18">
        <v>2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N1458" s="3">
        <f t="shared" si="41"/>
        <v>2</v>
      </c>
      <c r="AO1458" s="3">
        <v>5</v>
      </c>
      <c r="AP1458" s="3">
        <v>2</v>
      </c>
      <c r="AR1458" s="2" t="s">
        <v>2197</v>
      </c>
    </row>
    <row r="1459" spans="1:44" ht="12.75" customHeight="1">
      <c r="A1459" s="5">
        <v>42843</v>
      </c>
      <c r="B1459" s="2" t="s">
        <v>152</v>
      </c>
      <c r="C1459" s="2" t="s">
        <v>236</v>
      </c>
      <c r="E1459" s="18">
        <v>2</v>
      </c>
      <c r="F1459" s="18">
        <v>0</v>
      </c>
      <c r="G1459" s="18">
        <v>0</v>
      </c>
      <c r="H1459" s="18">
        <v>0</v>
      </c>
      <c r="I1459" s="18">
        <v>0</v>
      </c>
      <c r="J1459" s="18">
        <v>0</v>
      </c>
      <c r="K1459" s="18">
        <v>4</v>
      </c>
      <c r="T1459" s="3">
        <f t="shared" si="40"/>
        <v>6</v>
      </c>
      <c r="U1459" s="3">
        <v>12</v>
      </c>
      <c r="V1459" s="3">
        <v>5</v>
      </c>
      <c r="X1459" s="2" t="s">
        <v>2146</v>
      </c>
      <c r="Y1459" s="18">
        <v>0</v>
      </c>
      <c r="Z1459" s="18">
        <v>5</v>
      </c>
      <c r="AA1459" s="18">
        <v>3</v>
      </c>
      <c r="AB1459" s="18">
        <v>1</v>
      </c>
      <c r="AC1459" s="18">
        <v>0</v>
      </c>
      <c r="AD1459" s="18">
        <v>0</v>
      </c>
      <c r="AE1459" s="18" t="s">
        <v>162</v>
      </c>
      <c r="AN1459" s="3">
        <f t="shared" si="41"/>
        <v>9</v>
      </c>
      <c r="AO1459" s="3">
        <v>10</v>
      </c>
      <c r="AP1459" s="3">
        <v>1</v>
      </c>
      <c r="AR1459" s="2" t="s">
        <v>2195</v>
      </c>
    </row>
    <row r="1460" spans="1:44" ht="12.75" customHeight="1">
      <c r="A1460" s="5">
        <v>42845</v>
      </c>
      <c r="C1460" s="2" t="s">
        <v>183</v>
      </c>
      <c r="E1460" s="18">
        <v>0</v>
      </c>
      <c r="F1460" s="18">
        <v>0</v>
      </c>
      <c r="G1460" s="18">
        <v>1</v>
      </c>
      <c r="H1460" s="18">
        <v>1</v>
      </c>
      <c r="I1460" s="18">
        <v>0</v>
      </c>
      <c r="J1460" s="18">
        <v>0</v>
      </c>
      <c r="K1460" s="18">
        <v>1</v>
      </c>
      <c r="T1460" s="3">
        <f t="shared" si="40"/>
        <v>3</v>
      </c>
      <c r="U1460" s="3">
        <v>7</v>
      </c>
      <c r="V1460" s="3">
        <v>0</v>
      </c>
      <c r="X1460" s="2" t="s">
        <v>2193</v>
      </c>
      <c r="Y1460" s="18">
        <v>2</v>
      </c>
      <c r="Z1460" s="18">
        <v>0</v>
      </c>
      <c r="AA1460" s="18">
        <v>0</v>
      </c>
      <c r="AB1460" s="18">
        <v>0</v>
      </c>
      <c r="AC1460" s="18">
        <v>0</v>
      </c>
      <c r="AD1460" s="18">
        <v>0</v>
      </c>
      <c r="AE1460" s="18">
        <v>0</v>
      </c>
      <c r="AN1460" s="3">
        <f t="shared" si="41"/>
        <v>2</v>
      </c>
      <c r="AO1460" s="3">
        <v>4</v>
      </c>
      <c r="AP1460" s="3">
        <v>1</v>
      </c>
      <c r="AR1460" s="2" t="s">
        <v>2194</v>
      </c>
    </row>
    <row r="1461" spans="1:44" ht="12.75" customHeight="1">
      <c r="A1461" s="5">
        <v>42849</v>
      </c>
      <c r="C1461" s="2" t="s">
        <v>305</v>
      </c>
      <c r="E1461" s="18">
        <v>0</v>
      </c>
      <c r="F1461" s="18">
        <v>0</v>
      </c>
      <c r="G1461" s="18">
        <v>0</v>
      </c>
      <c r="H1461" s="18">
        <v>0</v>
      </c>
      <c r="I1461" s="18">
        <v>0</v>
      </c>
      <c r="J1461" s="18">
        <v>2</v>
      </c>
      <c r="K1461" s="18">
        <v>0</v>
      </c>
      <c r="T1461" s="3">
        <f t="shared" si="40"/>
        <v>2</v>
      </c>
      <c r="U1461" s="3">
        <v>3</v>
      </c>
      <c r="V1461" s="3">
        <v>1</v>
      </c>
      <c r="X1461" s="2" t="s">
        <v>2191</v>
      </c>
      <c r="Y1461" s="18">
        <v>0</v>
      </c>
      <c r="Z1461" s="18">
        <v>0</v>
      </c>
      <c r="AA1461" s="18">
        <v>0</v>
      </c>
      <c r="AB1461" s="18">
        <v>3</v>
      </c>
      <c r="AC1461" s="18">
        <v>2</v>
      </c>
      <c r="AD1461" s="18">
        <v>0</v>
      </c>
      <c r="AE1461" s="18">
        <v>0</v>
      </c>
      <c r="AN1461" s="3">
        <f t="shared" si="41"/>
        <v>5</v>
      </c>
      <c r="AO1461" s="3">
        <v>6</v>
      </c>
      <c r="AP1461" s="3">
        <v>1</v>
      </c>
      <c r="AR1461" s="2" t="s">
        <v>2192</v>
      </c>
    </row>
    <row r="1462" spans="1:44" ht="12.75" customHeight="1">
      <c r="A1462" s="5">
        <v>42850</v>
      </c>
      <c r="C1462" s="2" t="s">
        <v>297</v>
      </c>
      <c r="E1462" s="18">
        <v>4</v>
      </c>
      <c r="F1462" s="18">
        <v>1</v>
      </c>
      <c r="G1462" s="18">
        <v>1</v>
      </c>
      <c r="H1462" s="18">
        <v>0</v>
      </c>
      <c r="I1462" s="18">
        <v>0</v>
      </c>
      <c r="J1462" s="18">
        <v>1</v>
      </c>
      <c r="K1462" s="18" t="s">
        <v>162</v>
      </c>
      <c r="T1462" s="3">
        <f t="shared" si="40"/>
        <v>7</v>
      </c>
      <c r="U1462" s="3">
        <v>9</v>
      </c>
      <c r="V1462" s="3">
        <v>2</v>
      </c>
      <c r="X1462" s="2" t="s">
        <v>2189</v>
      </c>
      <c r="Y1462" s="18">
        <v>0</v>
      </c>
      <c r="Z1462" s="18">
        <v>0</v>
      </c>
      <c r="AA1462" s="18">
        <v>0</v>
      </c>
      <c r="AB1462" s="18">
        <v>2</v>
      </c>
      <c r="AC1462" s="18">
        <v>0</v>
      </c>
      <c r="AD1462" s="18">
        <v>3</v>
      </c>
      <c r="AE1462" s="18">
        <v>0</v>
      </c>
      <c r="AN1462" s="3">
        <f t="shared" si="41"/>
        <v>5</v>
      </c>
      <c r="AO1462" s="3">
        <v>6</v>
      </c>
      <c r="AP1462" s="3">
        <v>2</v>
      </c>
      <c r="AR1462" s="2" t="s">
        <v>2190</v>
      </c>
    </row>
    <row r="1463" spans="1:44" ht="12.75" customHeight="1">
      <c r="A1463" s="5">
        <v>42852</v>
      </c>
      <c r="C1463" s="2" t="s">
        <v>174</v>
      </c>
      <c r="E1463" s="18">
        <v>1</v>
      </c>
      <c r="F1463" s="18">
        <v>0</v>
      </c>
      <c r="G1463" s="18">
        <v>1</v>
      </c>
      <c r="H1463" s="18">
        <v>0</v>
      </c>
      <c r="I1463" s="18">
        <v>1</v>
      </c>
      <c r="J1463" s="18">
        <v>0</v>
      </c>
      <c r="T1463" s="3">
        <f t="shared" si="40"/>
        <v>3</v>
      </c>
      <c r="U1463" s="3">
        <v>5</v>
      </c>
      <c r="V1463" s="3">
        <v>1</v>
      </c>
      <c r="X1463" s="2" t="s">
        <v>2187</v>
      </c>
      <c r="Y1463" s="18">
        <v>0</v>
      </c>
      <c r="Z1463" s="18">
        <v>0</v>
      </c>
      <c r="AA1463" s="18">
        <v>5</v>
      </c>
      <c r="AB1463" s="18">
        <v>1</v>
      </c>
      <c r="AC1463" s="18">
        <v>1</v>
      </c>
      <c r="AD1463" s="18">
        <v>0</v>
      </c>
      <c r="AN1463" s="3">
        <f t="shared" si="41"/>
        <v>7</v>
      </c>
      <c r="AO1463" s="3">
        <v>8</v>
      </c>
      <c r="AP1463" s="3">
        <v>1</v>
      </c>
      <c r="AR1463" s="2" t="s">
        <v>2188</v>
      </c>
    </row>
    <row r="1464" spans="1:44" ht="12.75" customHeight="1">
      <c r="A1464" s="5">
        <v>42853</v>
      </c>
      <c r="C1464" s="2" t="s">
        <v>192</v>
      </c>
      <c r="E1464" s="18">
        <v>3</v>
      </c>
      <c r="F1464" s="18">
        <v>0</v>
      </c>
      <c r="G1464" s="18">
        <v>2</v>
      </c>
      <c r="H1464" s="18">
        <v>2</v>
      </c>
      <c r="I1464" s="18">
        <v>0</v>
      </c>
      <c r="J1464" s="18">
        <v>5</v>
      </c>
      <c r="T1464" s="3">
        <f t="shared" si="40"/>
        <v>12</v>
      </c>
      <c r="U1464" s="3">
        <v>11</v>
      </c>
      <c r="V1464" s="3">
        <v>2</v>
      </c>
      <c r="X1464" s="2" t="s">
        <v>2156</v>
      </c>
      <c r="Y1464" s="18">
        <v>0</v>
      </c>
      <c r="Z1464" s="18">
        <v>1</v>
      </c>
      <c r="AA1464" s="18">
        <v>1</v>
      </c>
      <c r="AB1464" s="18">
        <v>0</v>
      </c>
      <c r="AC1464" s="18">
        <v>0</v>
      </c>
      <c r="AD1464" s="18">
        <v>0</v>
      </c>
      <c r="AN1464" s="3">
        <f t="shared" si="41"/>
        <v>2</v>
      </c>
      <c r="AO1464" s="3">
        <v>6</v>
      </c>
      <c r="AP1464" s="3">
        <v>3</v>
      </c>
      <c r="AR1464" s="2" t="s">
        <v>2186</v>
      </c>
    </row>
    <row r="1465" spans="1:44" ht="12.75" customHeight="1">
      <c r="A1465" s="5">
        <v>42857</v>
      </c>
      <c r="B1465" s="2" t="s">
        <v>152</v>
      </c>
      <c r="C1465" s="2" t="s">
        <v>297</v>
      </c>
      <c r="E1465" s="18">
        <v>0</v>
      </c>
      <c r="F1465" s="18">
        <v>0</v>
      </c>
      <c r="G1465" s="18">
        <v>0</v>
      </c>
      <c r="H1465" s="18">
        <v>0</v>
      </c>
      <c r="I1465" s="18">
        <v>0</v>
      </c>
      <c r="J1465" s="18">
        <v>3</v>
      </c>
      <c r="K1465" s="18">
        <v>0</v>
      </c>
      <c r="T1465" s="3">
        <f t="shared" si="40"/>
        <v>3</v>
      </c>
      <c r="U1465" s="3">
        <v>5</v>
      </c>
      <c r="V1465" s="3">
        <v>2</v>
      </c>
      <c r="X1465" s="2" t="s">
        <v>2161</v>
      </c>
      <c r="Y1465" s="18">
        <v>0</v>
      </c>
      <c r="Z1465" s="18">
        <v>0</v>
      </c>
      <c r="AA1465" s="18">
        <v>1</v>
      </c>
      <c r="AB1465" s="18">
        <v>0</v>
      </c>
      <c r="AC1465" s="18">
        <v>0</v>
      </c>
      <c r="AD1465" s="18">
        <v>0</v>
      </c>
      <c r="AE1465" s="18">
        <v>0</v>
      </c>
      <c r="AN1465" s="3">
        <f t="shared" si="41"/>
        <v>1</v>
      </c>
      <c r="AO1465" s="3">
        <v>7</v>
      </c>
      <c r="AP1465" s="3">
        <v>3</v>
      </c>
      <c r="AR1465" s="2" t="s">
        <v>2185</v>
      </c>
    </row>
    <row r="1466" spans="1:44" ht="12.75" customHeight="1">
      <c r="A1466" s="5">
        <v>42863</v>
      </c>
      <c r="B1466" s="2" t="s">
        <v>152</v>
      </c>
      <c r="C1466" s="2" t="s">
        <v>379</v>
      </c>
      <c r="E1466" s="18">
        <v>0</v>
      </c>
      <c r="F1466" s="18">
        <v>1</v>
      </c>
      <c r="G1466" s="18">
        <v>1</v>
      </c>
      <c r="H1466" s="18">
        <v>0</v>
      </c>
      <c r="I1466" s="18">
        <v>0</v>
      </c>
      <c r="J1466" s="18">
        <v>1</v>
      </c>
      <c r="K1466" s="18">
        <v>3</v>
      </c>
      <c r="T1466" s="3">
        <f t="shared" si="40"/>
        <v>6</v>
      </c>
      <c r="U1466" s="3">
        <v>12</v>
      </c>
      <c r="V1466" s="3">
        <v>1</v>
      </c>
      <c r="X1466" s="2" t="s">
        <v>2167</v>
      </c>
      <c r="Y1466" s="18">
        <v>0</v>
      </c>
      <c r="Z1466" s="18">
        <v>0</v>
      </c>
      <c r="AA1466" s="18">
        <v>0</v>
      </c>
      <c r="AB1466" s="18">
        <v>2</v>
      </c>
      <c r="AC1466" s="18">
        <v>0</v>
      </c>
      <c r="AD1466" s="18">
        <v>0</v>
      </c>
      <c r="AE1466" s="18">
        <v>0</v>
      </c>
      <c r="AN1466" s="3">
        <f t="shared" si="41"/>
        <v>2</v>
      </c>
      <c r="AO1466" s="3">
        <v>7</v>
      </c>
      <c r="AP1466" s="3">
        <v>2</v>
      </c>
      <c r="AR1466" s="2" t="s">
        <v>2184</v>
      </c>
    </row>
    <row r="1467" spans="1:44" ht="12.75" customHeight="1">
      <c r="A1467" s="5">
        <v>42864</v>
      </c>
      <c r="B1467" s="2" t="s">
        <v>152</v>
      </c>
      <c r="C1467" s="2" t="s">
        <v>169</v>
      </c>
      <c r="E1467" s="18">
        <v>0</v>
      </c>
      <c r="F1467" s="18">
        <v>0</v>
      </c>
      <c r="G1467" s="18">
        <v>4</v>
      </c>
      <c r="H1467" s="18">
        <v>9</v>
      </c>
      <c r="I1467" s="18">
        <v>0</v>
      </c>
      <c r="T1467" s="3">
        <f t="shared" si="40"/>
        <v>13</v>
      </c>
      <c r="U1467" s="3">
        <v>7</v>
      </c>
      <c r="V1467" s="3">
        <v>1</v>
      </c>
      <c r="X1467" s="2" t="s">
        <v>2171</v>
      </c>
      <c r="Y1467" s="18">
        <v>0</v>
      </c>
      <c r="Z1467" s="18">
        <v>0</v>
      </c>
      <c r="AA1467" s="18">
        <v>0</v>
      </c>
      <c r="AB1467" s="18">
        <v>0</v>
      </c>
      <c r="AC1467" s="18">
        <v>0</v>
      </c>
      <c r="AN1467" s="3">
        <f t="shared" si="41"/>
        <v>0</v>
      </c>
      <c r="AO1467" s="3">
        <v>3</v>
      </c>
      <c r="AP1467" s="3">
        <v>0</v>
      </c>
      <c r="AR1467" s="2" t="s">
        <v>2183</v>
      </c>
    </row>
    <row r="1468" spans="1:44" ht="12.75" customHeight="1">
      <c r="A1468" s="5">
        <v>42866</v>
      </c>
      <c r="C1468" s="2" t="s">
        <v>236</v>
      </c>
      <c r="E1468" s="18">
        <v>0</v>
      </c>
      <c r="F1468" s="18">
        <v>2</v>
      </c>
      <c r="G1468" s="18">
        <v>0</v>
      </c>
      <c r="H1468" s="18">
        <v>1</v>
      </c>
      <c r="I1468" s="18">
        <v>5</v>
      </c>
      <c r="J1468" s="18">
        <v>2</v>
      </c>
      <c r="K1468" s="18" t="s">
        <v>162</v>
      </c>
      <c r="T1468" s="3">
        <f t="shared" si="40"/>
        <v>10</v>
      </c>
      <c r="U1468" s="3">
        <v>11</v>
      </c>
      <c r="V1468" s="3">
        <v>2</v>
      </c>
      <c r="X1468" s="2" t="s">
        <v>2181</v>
      </c>
      <c r="Y1468" s="18">
        <v>1</v>
      </c>
      <c r="Z1468" s="18">
        <v>0</v>
      </c>
      <c r="AA1468" s="18">
        <v>0</v>
      </c>
      <c r="AB1468" s="18">
        <v>0</v>
      </c>
      <c r="AC1468" s="18">
        <v>0</v>
      </c>
      <c r="AD1468" s="18">
        <v>0</v>
      </c>
      <c r="AE1468" s="18">
        <v>2</v>
      </c>
      <c r="AN1468" s="3">
        <f t="shared" si="41"/>
        <v>3</v>
      </c>
      <c r="AO1468" s="3">
        <v>4</v>
      </c>
      <c r="AP1468" s="3">
        <v>3</v>
      </c>
      <c r="AR1468" s="2" t="s">
        <v>2182</v>
      </c>
    </row>
    <row r="1469" spans="1:44" ht="12.75" customHeight="1">
      <c r="A1469" s="5">
        <v>42870</v>
      </c>
      <c r="B1469" s="2" t="s">
        <v>152</v>
      </c>
      <c r="C1469" s="2" t="s">
        <v>191</v>
      </c>
      <c r="E1469" s="18">
        <v>4</v>
      </c>
      <c r="F1469" s="18">
        <v>0</v>
      </c>
      <c r="G1469" s="18">
        <v>0</v>
      </c>
      <c r="H1469" s="18">
        <v>2</v>
      </c>
      <c r="I1469" s="18">
        <v>0</v>
      </c>
      <c r="J1469" s="18">
        <v>0</v>
      </c>
      <c r="K1469" s="18">
        <v>2</v>
      </c>
      <c r="T1469" s="3">
        <f t="shared" si="40"/>
        <v>8</v>
      </c>
      <c r="U1469" s="3">
        <v>11</v>
      </c>
      <c r="V1469" s="3">
        <v>2</v>
      </c>
      <c r="X1469" s="2" t="s">
        <v>2151</v>
      </c>
      <c r="Y1469" s="18">
        <v>0</v>
      </c>
      <c r="Z1469" s="18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N1469" s="3">
        <f t="shared" si="41"/>
        <v>0</v>
      </c>
      <c r="AO1469" s="3">
        <v>4</v>
      </c>
      <c r="AP1469" s="3">
        <v>2</v>
      </c>
      <c r="AR1469" s="2" t="s">
        <v>2180</v>
      </c>
    </row>
    <row r="1470" spans="1:44" ht="12.75" customHeight="1">
      <c r="A1470" s="5">
        <v>42871</v>
      </c>
      <c r="B1470" s="2" t="s">
        <v>152</v>
      </c>
      <c r="C1470" s="2" t="s">
        <v>168</v>
      </c>
      <c r="E1470" s="18">
        <v>0</v>
      </c>
      <c r="F1470" s="18">
        <v>0</v>
      </c>
      <c r="G1470" s="18">
        <v>2</v>
      </c>
      <c r="H1470" s="18">
        <v>0</v>
      </c>
      <c r="I1470" s="18">
        <v>1</v>
      </c>
      <c r="J1470" s="18">
        <v>1</v>
      </c>
      <c r="K1470" s="18">
        <v>0</v>
      </c>
      <c r="T1470" s="3">
        <f t="shared" si="40"/>
        <v>4</v>
      </c>
      <c r="U1470" s="3">
        <v>13</v>
      </c>
      <c r="V1470" s="3">
        <v>0</v>
      </c>
      <c r="X1470" s="2" t="s">
        <v>2178</v>
      </c>
      <c r="Y1470" s="18">
        <v>1</v>
      </c>
      <c r="Z1470" s="18">
        <v>0</v>
      </c>
      <c r="AA1470" s="18">
        <v>2</v>
      </c>
      <c r="AB1470" s="18">
        <v>0</v>
      </c>
      <c r="AC1470" s="18">
        <v>0</v>
      </c>
      <c r="AD1470" s="18">
        <v>1</v>
      </c>
      <c r="AE1470" s="18">
        <v>1</v>
      </c>
      <c r="AN1470" s="3">
        <f t="shared" si="41"/>
        <v>5</v>
      </c>
      <c r="AO1470" s="3">
        <v>5</v>
      </c>
      <c r="AP1470" s="3">
        <v>0</v>
      </c>
      <c r="AR1470" s="2" t="s">
        <v>2179</v>
      </c>
    </row>
    <row r="1471" spans="1:44" ht="12.75" customHeight="1">
      <c r="A1471" s="5">
        <v>42872</v>
      </c>
      <c r="B1471" s="2" t="s">
        <v>152</v>
      </c>
      <c r="C1471" s="2" t="s">
        <v>374</v>
      </c>
      <c r="E1471" s="18">
        <v>3</v>
      </c>
      <c r="F1471" s="18">
        <v>0</v>
      </c>
      <c r="G1471" s="18">
        <v>1</v>
      </c>
      <c r="H1471" s="18">
        <v>1</v>
      </c>
      <c r="I1471" s="18">
        <v>5</v>
      </c>
      <c r="J1471" s="18">
        <v>4</v>
      </c>
      <c r="T1471" s="3">
        <f t="shared" si="40"/>
        <v>14</v>
      </c>
      <c r="U1471" s="3">
        <v>17</v>
      </c>
      <c r="V1471" s="3">
        <v>1</v>
      </c>
      <c r="X1471" s="2" t="s">
        <v>2156</v>
      </c>
      <c r="Y1471" s="18">
        <v>0</v>
      </c>
      <c r="Z1471" s="18">
        <v>0</v>
      </c>
      <c r="AA1471" s="18">
        <v>0</v>
      </c>
      <c r="AB1471" s="18">
        <v>3</v>
      </c>
      <c r="AC1471" s="18">
        <v>0</v>
      </c>
      <c r="AD1471" s="18">
        <v>0</v>
      </c>
      <c r="AN1471" s="3">
        <f t="shared" si="41"/>
        <v>3</v>
      </c>
      <c r="AO1471" s="3">
        <v>5</v>
      </c>
      <c r="AP1471" s="3">
        <v>4</v>
      </c>
      <c r="AR1471" s="2" t="s">
        <v>2177</v>
      </c>
    </row>
    <row r="1472" spans="1:44" ht="12.75" customHeight="1">
      <c r="A1472" s="5">
        <v>42879</v>
      </c>
      <c r="C1472" s="2" t="s">
        <v>183</v>
      </c>
      <c r="D1472" s="2" t="s">
        <v>258</v>
      </c>
      <c r="E1472" s="18">
        <v>0</v>
      </c>
      <c r="F1472" s="18">
        <v>0</v>
      </c>
      <c r="G1472" s="18">
        <v>0</v>
      </c>
      <c r="H1472" s="18">
        <v>4</v>
      </c>
      <c r="I1472" s="18">
        <v>0</v>
      </c>
      <c r="J1472" s="18">
        <v>1</v>
      </c>
      <c r="K1472" s="18">
        <v>2</v>
      </c>
      <c r="L1472" s="18">
        <v>0</v>
      </c>
      <c r="M1472" s="18">
        <v>0</v>
      </c>
      <c r="N1472" s="18">
        <v>1</v>
      </c>
      <c r="T1472" s="3">
        <f t="shared" si="40"/>
        <v>8</v>
      </c>
      <c r="U1472" s="3">
        <v>11</v>
      </c>
      <c r="V1472" s="3">
        <v>2</v>
      </c>
      <c r="X1472" s="2" t="s">
        <v>2175</v>
      </c>
      <c r="Y1472" s="18">
        <v>0</v>
      </c>
      <c r="Z1472" s="18">
        <v>0</v>
      </c>
      <c r="AA1472" s="18">
        <v>0</v>
      </c>
      <c r="AB1472" s="18">
        <v>1</v>
      </c>
      <c r="AC1472" s="18">
        <v>3</v>
      </c>
      <c r="AD1472" s="18">
        <v>3</v>
      </c>
      <c r="AE1472" s="18">
        <v>0</v>
      </c>
      <c r="AF1472" s="18">
        <v>0</v>
      </c>
      <c r="AG1472" s="18">
        <v>0</v>
      </c>
      <c r="AH1472" s="18">
        <v>0</v>
      </c>
      <c r="AN1472" s="3">
        <f t="shared" si="41"/>
        <v>7</v>
      </c>
      <c r="AO1472" s="3">
        <v>8</v>
      </c>
      <c r="AP1472" s="3">
        <v>1</v>
      </c>
      <c r="AR1472" s="2" t="s">
        <v>2176</v>
      </c>
    </row>
    <row r="1473" spans="1:44" ht="12.75" customHeight="1">
      <c r="A1473" s="5">
        <v>42886</v>
      </c>
      <c r="B1473" s="2" t="s">
        <v>239</v>
      </c>
      <c r="C1473" s="2" t="s">
        <v>138</v>
      </c>
      <c r="D1473" s="2" t="s">
        <v>258</v>
      </c>
      <c r="E1473" s="18">
        <v>1</v>
      </c>
      <c r="F1473" s="18">
        <v>0</v>
      </c>
      <c r="G1473" s="18">
        <v>3</v>
      </c>
      <c r="H1473" s="18">
        <v>5</v>
      </c>
      <c r="I1473" s="18">
        <v>0</v>
      </c>
      <c r="J1473" s="18">
        <v>3</v>
      </c>
      <c r="T1473" s="3">
        <f t="shared" si="40"/>
        <v>12</v>
      </c>
      <c r="U1473" s="3">
        <v>13</v>
      </c>
      <c r="V1473" s="3">
        <v>2</v>
      </c>
      <c r="X1473" s="2" t="s">
        <v>2171</v>
      </c>
      <c r="Y1473" s="18">
        <v>1</v>
      </c>
      <c r="Z1473" s="18">
        <v>0</v>
      </c>
      <c r="AA1473" s="18">
        <v>0</v>
      </c>
      <c r="AB1473" s="18">
        <v>1</v>
      </c>
      <c r="AC1473" s="18">
        <v>0</v>
      </c>
      <c r="AD1473" s="18">
        <v>0</v>
      </c>
      <c r="AN1473" s="3">
        <f t="shared" si="41"/>
        <v>2</v>
      </c>
      <c r="AO1473" s="3">
        <v>4</v>
      </c>
      <c r="AP1473" s="3">
        <v>0</v>
      </c>
      <c r="AR1473" s="2" t="s">
        <v>2379</v>
      </c>
    </row>
    <row r="1474" spans="1:44" ht="12.75" customHeight="1">
      <c r="A1474" s="5">
        <v>42891</v>
      </c>
      <c r="B1474" s="2" t="s">
        <v>239</v>
      </c>
      <c r="C1474" s="2" t="s">
        <v>2174</v>
      </c>
      <c r="D1474" s="2" t="s">
        <v>260</v>
      </c>
      <c r="E1474" s="18">
        <v>0</v>
      </c>
      <c r="F1474" s="18">
        <v>0</v>
      </c>
      <c r="G1474" s="18">
        <v>0</v>
      </c>
      <c r="H1474" s="18">
        <v>0</v>
      </c>
      <c r="I1474" s="18">
        <v>0</v>
      </c>
      <c r="J1474" s="18">
        <v>0</v>
      </c>
      <c r="K1474" s="18">
        <v>0</v>
      </c>
      <c r="T1474" s="3">
        <f t="shared" si="40"/>
        <v>0</v>
      </c>
      <c r="U1474" s="3">
        <v>3</v>
      </c>
      <c r="V1474" s="3">
        <v>0</v>
      </c>
      <c r="X1474" s="2" t="s">
        <v>2211</v>
      </c>
      <c r="Y1474" s="18">
        <v>0</v>
      </c>
      <c r="Z1474" s="18">
        <v>0</v>
      </c>
      <c r="AA1474" s="18">
        <v>0</v>
      </c>
      <c r="AB1474" s="18">
        <v>0</v>
      </c>
      <c r="AC1474" s="18">
        <v>0</v>
      </c>
      <c r="AD1474" s="18">
        <v>4</v>
      </c>
      <c r="AE1474" s="18">
        <v>0</v>
      </c>
      <c r="AN1474" s="3">
        <f t="shared" si="41"/>
        <v>4</v>
      </c>
      <c r="AO1474" s="3">
        <v>7</v>
      </c>
      <c r="AP1474" s="3">
        <v>0</v>
      </c>
      <c r="AR1474" s="2" t="s">
        <v>2210</v>
      </c>
    </row>
    <row r="1475" ht="12.75" customHeight="1"/>
    <row r="1476" spans="1:45" ht="12.75" customHeight="1">
      <c r="A1476" s="5">
        <v>43190</v>
      </c>
      <c r="C1476" s="2" t="s">
        <v>305</v>
      </c>
      <c r="E1476" s="18">
        <v>0</v>
      </c>
      <c r="F1476" s="18">
        <v>0</v>
      </c>
      <c r="G1476" s="18">
        <v>0</v>
      </c>
      <c r="H1476" s="18">
        <v>0</v>
      </c>
      <c r="I1476" s="18">
        <v>0</v>
      </c>
      <c r="J1476" s="18">
        <v>1</v>
      </c>
      <c r="K1476" s="18">
        <v>0</v>
      </c>
      <c r="T1476" s="3">
        <f aca="true" t="shared" si="42" ref="T1476:T1537">SUM(E1476:S1476)</f>
        <v>1</v>
      </c>
      <c r="U1476" s="3">
        <v>1</v>
      </c>
      <c r="V1476" s="3">
        <v>2</v>
      </c>
      <c r="X1476" s="2" t="s">
        <v>2316</v>
      </c>
      <c r="Y1476" s="18">
        <v>1</v>
      </c>
      <c r="Z1476" s="18">
        <v>0</v>
      </c>
      <c r="AA1476" s="18">
        <v>0</v>
      </c>
      <c r="AB1476" s="18">
        <v>3</v>
      </c>
      <c r="AC1476" s="18">
        <v>1</v>
      </c>
      <c r="AD1476" s="18">
        <v>0</v>
      </c>
      <c r="AE1476" s="18" t="s">
        <v>162</v>
      </c>
      <c r="AN1476" s="3">
        <f aca="true" t="shared" si="43" ref="AN1476:AN1537">SUM(Y1476:AM1476)</f>
        <v>5</v>
      </c>
      <c r="AO1476" s="3">
        <v>5</v>
      </c>
      <c r="AP1476" s="3">
        <v>1</v>
      </c>
      <c r="AR1476" s="2" t="s">
        <v>2321</v>
      </c>
      <c r="AS1476" s="2" t="s">
        <v>1848</v>
      </c>
    </row>
    <row r="1477" spans="1:46" ht="12.75" customHeight="1">
      <c r="A1477" s="5">
        <v>43200</v>
      </c>
      <c r="C1477" s="2" t="s">
        <v>374</v>
      </c>
      <c r="E1477" s="18">
        <v>0</v>
      </c>
      <c r="F1477" s="18">
        <v>0</v>
      </c>
      <c r="G1477" s="18">
        <v>0</v>
      </c>
      <c r="H1477" s="18">
        <v>0</v>
      </c>
      <c r="I1477" s="18">
        <v>2</v>
      </c>
      <c r="J1477" s="18">
        <v>2</v>
      </c>
      <c r="K1477" s="18" t="s">
        <v>162</v>
      </c>
      <c r="T1477" s="3">
        <f t="shared" si="42"/>
        <v>4</v>
      </c>
      <c r="U1477" s="3">
        <v>5</v>
      </c>
      <c r="V1477" s="3">
        <v>2</v>
      </c>
      <c r="X1477" s="2" t="s">
        <v>2319</v>
      </c>
      <c r="Y1477" s="18">
        <v>0</v>
      </c>
      <c r="Z1477" s="18">
        <v>0</v>
      </c>
      <c r="AA1477" s="18">
        <v>0</v>
      </c>
      <c r="AB1477" s="18">
        <v>0</v>
      </c>
      <c r="AC1477" s="18">
        <v>0</v>
      </c>
      <c r="AD1477" s="18">
        <v>2</v>
      </c>
      <c r="AE1477" s="18">
        <v>0</v>
      </c>
      <c r="AN1477" s="3">
        <f t="shared" si="43"/>
        <v>2</v>
      </c>
      <c r="AO1477" s="3">
        <v>6</v>
      </c>
      <c r="AP1477" s="3">
        <v>0</v>
      </c>
      <c r="AR1477" s="2" t="s">
        <v>2320</v>
      </c>
      <c r="AS1477" s="2" t="s">
        <v>252</v>
      </c>
      <c r="AT1477" s="2">
        <v>6</v>
      </c>
    </row>
    <row r="1478" spans="1:44" ht="12.75" customHeight="1">
      <c r="A1478" s="5">
        <v>43203</v>
      </c>
      <c r="B1478" s="2" t="s">
        <v>152</v>
      </c>
      <c r="C1478" s="2" t="s">
        <v>379</v>
      </c>
      <c r="E1478" s="18">
        <v>0</v>
      </c>
      <c r="F1478" s="18">
        <v>3</v>
      </c>
      <c r="G1478" s="18">
        <v>0</v>
      </c>
      <c r="H1478" s="18">
        <v>0</v>
      </c>
      <c r="I1478" s="18">
        <v>0</v>
      </c>
      <c r="J1478" s="18">
        <v>0</v>
      </c>
      <c r="K1478" s="18">
        <v>0</v>
      </c>
      <c r="T1478" s="3">
        <f t="shared" si="42"/>
        <v>3</v>
      </c>
      <c r="U1478" s="3">
        <v>6</v>
      </c>
      <c r="V1478" s="3">
        <v>0</v>
      </c>
      <c r="X1478" s="2" t="s">
        <v>2193</v>
      </c>
      <c r="Y1478" s="18">
        <v>0</v>
      </c>
      <c r="Z1478" s="18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N1478" s="3">
        <f t="shared" si="43"/>
        <v>0</v>
      </c>
      <c r="AO1478" s="3">
        <v>3</v>
      </c>
      <c r="AP1478" s="3">
        <v>1</v>
      </c>
      <c r="AR1478" s="2" t="s">
        <v>2318</v>
      </c>
    </row>
    <row r="1479" spans="1:44" ht="12.75" customHeight="1">
      <c r="A1479" s="5">
        <v>43204</v>
      </c>
      <c r="B1479" s="2" t="s">
        <v>152</v>
      </c>
      <c r="C1479" s="2" t="s">
        <v>297</v>
      </c>
      <c r="E1479" s="18">
        <v>0</v>
      </c>
      <c r="F1479" s="18">
        <v>0</v>
      </c>
      <c r="G1479" s="18">
        <v>4</v>
      </c>
      <c r="H1479" s="18">
        <v>0</v>
      </c>
      <c r="I1479" s="18">
        <v>4</v>
      </c>
      <c r="J1479" s="18">
        <v>0</v>
      </c>
      <c r="K1479" s="18">
        <v>0</v>
      </c>
      <c r="T1479" s="3">
        <f t="shared" si="42"/>
        <v>8</v>
      </c>
      <c r="U1479" s="3">
        <v>9</v>
      </c>
      <c r="V1479" s="3">
        <v>5</v>
      </c>
      <c r="X1479" s="2" t="s">
        <v>2316</v>
      </c>
      <c r="Y1479" s="18">
        <v>0</v>
      </c>
      <c r="Z1479" s="18">
        <v>0</v>
      </c>
      <c r="AA1479" s="18">
        <v>1</v>
      </c>
      <c r="AB1479" s="18">
        <v>1</v>
      </c>
      <c r="AC1479" s="18">
        <v>0</v>
      </c>
      <c r="AD1479" s="18">
        <v>5</v>
      </c>
      <c r="AE1479" s="18">
        <v>0</v>
      </c>
      <c r="AN1479" s="3">
        <f t="shared" si="43"/>
        <v>7</v>
      </c>
      <c r="AO1479" s="3">
        <v>9</v>
      </c>
      <c r="AP1479" s="3">
        <v>5</v>
      </c>
      <c r="AR1479" s="2" t="s">
        <v>2317</v>
      </c>
    </row>
    <row r="1480" spans="1:44" ht="12.75" customHeight="1">
      <c r="A1480" s="5">
        <v>43210</v>
      </c>
      <c r="C1480" s="2" t="s">
        <v>138</v>
      </c>
      <c r="E1480" s="18">
        <v>3</v>
      </c>
      <c r="F1480" s="18">
        <v>3</v>
      </c>
      <c r="G1480" s="18">
        <v>0</v>
      </c>
      <c r="H1480" s="18">
        <v>3</v>
      </c>
      <c r="I1480" s="18">
        <v>1</v>
      </c>
      <c r="J1480" s="18">
        <v>0</v>
      </c>
      <c r="K1480" s="18" t="s">
        <v>162</v>
      </c>
      <c r="T1480" s="3">
        <f t="shared" si="42"/>
        <v>10</v>
      </c>
      <c r="U1480" s="3">
        <v>9</v>
      </c>
      <c r="V1480" s="3">
        <v>2</v>
      </c>
      <c r="X1480" s="2" t="s">
        <v>2265</v>
      </c>
      <c r="Y1480" s="18">
        <v>0</v>
      </c>
      <c r="Z1480" s="18">
        <v>1</v>
      </c>
      <c r="AA1480" s="18">
        <v>0</v>
      </c>
      <c r="AB1480" s="18">
        <v>0</v>
      </c>
      <c r="AC1480" s="18">
        <v>1</v>
      </c>
      <c r="AD1480" s="18">
        <v>0</v>
      </c>
      <c r="AE1480" s="18">
        <v>1</v>
      </c>
      <c r="AN1480" s="3">
        <f t="shared" si="43"/>
        <v>3</v>
      </c>
      <c r="AO1480" s="3">
        <v>4</v>
      </c>
      <c r="AP1480" s="3">
        <v>3</v>
      </c>
      <c r="AR1480" s="2" t="s">
        <v>2380</v>
      </c>
    </row>
    <row r="1481" spans="1:44" ht="12.75" customHeight="1">
      <c r="A1481" s="5">
        <v>43211</v>
      </c>
      <c r="C1481" s="2" t="s">
        <v>236</v>
      </c>
      <c r="E1481" s="18">
        <v>1</v>
      </c>
      <c r="F1481" s="18">
        <v>0</v>
      </c>
      <c r="G1481" s="18">
        <v>4</v>
      </c>
      <c r="H1481" s="18">
        <v>0</v>
      </c>
      <c r="I1481" s="18">
        <v>0</v>
      </c>
      <c r="J1481" s="18">
        <v>0</v>
      </c>
      <c r="K1481" s="18" t="s">
        <v>162</v>
      </c>
      <c r="T1481" s="3">
        <f t="shared" si="42"/>
        <v>5</v>
      </c>
      <c r="U1481" s="3">
        <v>10</v>
      </c>
      <c r="V1481" s="3">
        <v>0</v>
      </c>
      <c r="X1481" s="2" t="s">
        <v>2315</v>
      </c>
      <c r="Y1481" s="18">
        <v>0</v>
      </c>
      <c r="Z1481" s="18">
        <v>0</v>
      </c>
      <c r="AA1481" s="18">
        <v>0</v>
      </c>
      <c r="AB1481" s="18">
        <v>0</v>
      </c>
      <c r="AC1481" s="18">
        <v>0</v>
      </c>
      <c r="AD1481" s="18">
        <v>0</v>
      </c>
      <c r="AE1481" s="18">
        <v>0</v>
      </c>
      <c r="AN1481" s="3">
        <f t="shared" si="43"/>
        <v>0</v>
      </c>
      <c r="AO1481" s="3">
        <v>4</v>
      </c>
      <c r="AP1481" s="3">
        <v>3</v>
      </c>
      <c r="AR1481" s="2" t="s">
        <v>2314</v>
      </c>
    </row>
    <row r="1482" spans="1:44" ht="12.75" customHeight="1">
      <c r="A1482" s="5">
        <v>43213</v>
      </c>
      <c r="B1482" s="2" t="s">
        <v>152</v>
      </c>
      <c r="C1482" s="2" t="s">
        <v>169</v>
      </c>
      <c r="E1482" s="18">
        <v>4</v>
      </c>
      <c r="F1482" s="18">
        <v>1</v>
      </c>
      <c r="G1482" s="18">
        <v>0</v>
      </c>
      <c r="H1482" s="18">
        <v>0</v>
      </c>
      <c r="I1482" s="18">
        <v>1</v>
      </c>
      <c r="J1482" s="18">
        <v>1</v>
      </c>
      <c r="K1482" s="18">
        <v>0</v>
      </c>
      <c r="T1482" s="3">
        <f t="shared" si="42"/>
        <v>7</v>
      </c>
      <c r="U1482" s="3">
        <v>11</v>
      </c>
      <c r="V1482" s="3">
        <v>1</v>
      </c>
      <c r="X1482" s="2" t="s">
        <v>2312</v>
      </c>
      <c r="Y1482" s="18">
        <v>0</v>
      </c>
      <c r="Z1482" s="18">
        <v>0</v>
      </c>
      <c r="AA1482" s="18">
        <v>0</v>
      </c>
      <c r="AB1482" s="18">
        <v>1</v>
      </c>
      <c r="AC1482" s="18">
        <v>1</v>
      </c>
      <c r="AD1482" s="18">
        <v>0</v>
      </c>
      <c r="AE1482" s="18">
        <v>0</v>
      </c>
      <c r="AN1482" s="3">
        <f t="shared" si="43"/>
        <v>2</v>
      </c>
      <c r="AO1482" s="3">
        <v>8</v>
      </c>
      <c r="AP1482" s="3">
        <v>1</v>
      </c>
      <c r="AR1482" s="2" t="s">
        <v>2313</v>
      </c>
    </row>
    <row r="1483" spans="1:44" ht="12.75" customHeight="1">
      <c r="A1483" s="5">
        <v>43217</v>
      </c>
      <c r="B1483" s="2" t="s">
        <v>152</v>
      </c>
      <c r="C1483" s="2" t="s">
        <v>174</v>
      </c>
      <c r="E1483" s="18">
        <v>0</v>
      </c>
      <c r="F1483" s="18">
        <v>0</v>
      </c>
      <c r="G1483" s="18">
        <v>2</v>
      </c>
      <c r="H1483" s="18">
        <v>2</v>
      </c>
      <c r="I1483" s="18">
        <v>3</v>
      </c>
      <c r="J1483" s="18">
        <v>0</v>
      </c>
      <c r="K1483" s="18">
        <v>1</v>
      </c>
      <c r="T1483" s="3">
        <f t="shared" si="42"/>
        <v>8</v>
      </c>
      <c r="U1483" s="3">
        <v>4</v>
      </c>
      <c r="V1483" s="3">
        <v>5</v>
      </c>
      <c r="X1483" s="2" t="s">
        <v>2311</v>
      </c>
      <c r="Y1483" s="18">
        <v>0</v>
      </c>
      <c r="Z1483" s="18">
        <v>0</v>
      </c>
      <c r="AA1483" s="18">
        <v>1</v>
      </c>
      <c r="AB1483" s="18">
        <v>3</v>
      </c>
      <c r="AC1483" s="18">
        <v>1</v>
      </c>
      <c r="AD1483" s="18">
        <v>0</v>
      </c>
      <c r="AE1483" s="18">
        <v>4</v>
      </c>
      <c r="AN1483" s="3">
        <f t="shared" si="43"/>
        <v>9</v>
      </c>
      <c r="AO1483" s="3">
        <v>12</v>
      </c>
      <c r="AP1483" s="3">
        <v>3</v>
      </c>
      <c r="AR1483" s="2" t="s">
        <v>2310</v>
      </c>
    </row>
    <row r="1484" spans="1:44" ht="12.75" customHeight="1">
      <c r="A1484" s="5">
        <v>43218</v>
      </c>
      <c r="B1484" s="2" t="s">
        <v>152</v>
      </c>
      <c r="C1484" s="2" t="s">
        <v>943</v>
      </c>
      <c r="E1484" s="18">
        <v>0</v>
      </c>
      <c r="F1484" s="18">
        <v>0</v>
      </c>
      <c r="G1484" s="18">
        <v>0</v>
      </c>
      <c r="H1484" s="18">
        <v>0</v>
      </c>
      <c r="I1484" s="18">
        <v>0</v>
      </c>
      <c r="J1484" s="18">
        <v>3</v>
      </c>
      <c r="K1484" s="18">
        <v>0</v>
      </c>
      <c r="T1484" s="3">
        <f t="shared" si="42"/>
        <v>3</v>
      </c>
      <c r="U1484" s="3">
        <v>10</v>
      </c>
      <c r="V1484" s="3">
        <v>1</v>
      </c>
      <c r="X1484" s="2" t="s">
        <v>2308</v>
      </c>
      <c r="Y1484" s="18">
        <v>0</v>
      </c>
      <c r="Z1484" s="18">
        <v>1</v>
      </c>
      <c r="AA1484" s="18">
        <v>0</v>
      </c>
      <c r="AB1484" s="18">
        <v>0</v>
      </c>
      <c r="AC1484" s="18">
        <v>2</v>
      </c>
      <c r="AD1484" s="18">
        <v>0</v>
      </c>
      <c r="AE1484" s="18">
        <v>1</v>
      </c>
      <c r="AN1484" s="3">
        <f t="shared" si="43"/>
        <v>4</v>
      </c>
      <c r="AO1484" s="3">
        <v>7</v>
      </c>
      <c r="AP1484" s="3">
        <v>2</v>
      </c>
      <c r="AR1484" s="2" t="s">
        <v>2309</v>
      </c>
    </row>
    <row r="1485" spans="1:44" ht="12.75" customHeight="1">
      <c r="A1485" s="5">
        <v>43220</v>
      </c>
      <c r="C1485" s="2" t="s">
        <v>297</v>
      </c>
      <c r="E1485" s="18">
        <v>13</v>
      </c>
      <c r="F1485" s="18">
        <v>3</v>
      </c>
      <c r="G1485" s="18" t="s">
        <v>162</v>
      </c>
      <c r="T1485" s="3">
        <f t="shared" si="42"/>
        <v>16</v>
      </c>
      <c r="U1485" s="3">
        <v>7</v>
      </c>
      <c r="V1485" s="3">
        <v>0</v>
      </c>
      <c r="X1485" s="2" t="s">
        <v>2307</v>
      </c>
      <c r="Y1485" s="18">
        <v>0</v>
      </c>
      <c r="Z1485" s="18">
        <v>0</v>
      </c>
      <c r="AA1485" s="18">
        <v>1</v>
      </c>
      <c r="AN1485" s="3">
        <f t="shared" si="43"/>
        <v>1</v>
      </c>
      <c r="AO1485" s="3">
        <v>2</v>
      </c>
      <c r="AP1485" s="3">
        <v>5</v>
      </c>
      <c r="AR1485" s="2" t="s">
        <v>2306</v>
      </c>
    </row>
    <row r="1486" spans="1:44" ht="12.75" customHeight="1">
      <c r="A1486" s="5">
        <v>43221</v>
      </c>
      <c r="B1486" s="2" t="s">
        <v>152</v>
      </c>
      <c r="C1486" s="2" t="s">
        <v>192</v>
      </c>
      <c r="E1486" s="18">
        <v>5</v>
      </c>
      <c r="F1486" s="18">
        <v>0</v>
      </c>
      <c r="G1486" s="18">
        <v>0</v>
      </c>
      <c r="H1486" s="18">
        <v>0</v>
      </c>
      <c r="I1486" s="18">
        <v>5</v>
      </c>
      <c r="J1486" s="18">
        <v>0</v>
      </c>
      <c r="K1486" s="18">
        <v>4</v>
      </c>
      <c r="T1486" s="3">
        <f t="shared" si="42"/>
        <v>14</v>
      </c>
      <c r="U1486" s="3">
        <v>12</v>
      </c>
      <c r="V1486" s="3">
        <v>0</v>
      </c>
      <c r="X1486" s="2" t="s">
        <v>2238</v>
      </c>
      <c r="Y1486" s="18">
        <v>1</v>
      </c>
      <c r="Z1486" s="18">
        <v>0</v>
      </c>
      <c r="AA1486" s="18">
        <v>0</v>
      </c>
      <c r="AB1486" s="18">
        <v>2</v>
      </c>
      <c r="AC1486" s="18">
        <v>1</v>
      </c>
      <c r="AD1486" s="18">
        <v>0</v>
      </c>
      <c r="AE1486" s="18">
        <v>0</v>
      </c>
      <c r="AN1486" s="3">
        <f t="shared" si="43"/>
        <v>4</v>
      </c>
      <c r="AO1486" s="3">
        <v>10</v>
      </c>
      <c r="AP1486" s="3">
        <v>2</v>
      </c>
      <c r="AR1486" s="2" t="s">
        <v>2305</v>
      </c>
    </row>
    <row r="1487" spans="1:44" ht="12.75" customHeight="1">
      <c r="A1487" s="5">
        <v>43222</v>
      </c>
      <c r="C1487" s="2" t="s">
        <v>305</v>
      </c>
      <c r="E1487" s="18">
        <v>0</v>
      </c>
      <c r="F1487" s="18">
        <v>0</v>
      </c>
      <c r="G1487" s="18">
        <v>0</v>
      </c>
      <c r="H1487" s="18">
        <v>0</v>
      </c>
      <c r="I1487" s="18">
        <v>0</v>
      </c>
      <c r="J1487" s="18">
        <v>2</v>
      </c>
      <c r="K1487" s="18">
        <v>1</v>
      </c>
      <c r="T1487" s="3">
        <f t="shared" si="42"/>
        <v>3</v>
      </c>
      <c r="U1487" s="3">
        <v>5</v>
      </c>
      <c r="V1487" s="3">
        <v>0</v>
      </c>
      <c r="X1487" s="2" t="s">
        <v>2303</v>
      </c>
      <c r="Y1487" s="18">
        <v>0</v>
      </c>
      <c r="Z1487" s="18">
        <v>0</v>
      </c>
      <c r="AA1487" s="18">
        <v>2</v>
      </c>
      <c r="AB1487" s="18">
        <v>0</v>
      </c>
      <c r="AC1487" s="18">
        <v>0</v>
      </c>
      <c r="AD1487" s="18">
        <v>0</v>
      </c>
      <c r="AE1487" s="18">
        <v>0</v>
      </c>
      <c r="AN1487" s="3">
        <f t="shared" si="43"/>
        <v>2</v>
      </c>
      <c r="AO1487" s="3">
        <v>6</v>
      </c>
      <c r="AP1487" s="3">
        <v>0</v>
      </c>
      <c r="AR1487" s="2" t="s">
        <v>2304</v>
      </c>
    </row>
    <row r="1488" spans="1:44" ht="12.75" customHeight="1">
      <c r="A1488" s="5">
        <v>43228</v>
      </c>
      <c r="C1488" s="2" t="s">
        <v>379</v>
      </c>
      <c r="E1488" s="18">
        <v>0</v>
      </c>
      <c r="F1488" s="18">
        <v>0</v>
      </c>
      <c r="G1488" s="18">
        <v>2</v>
      </c>
      <c r="H1488" s="18">
        <v>0</v>
      </c>
      <c r="I1488" s="18">
        <v>0</v>
      </c>
      <c r="J1488" s="18">
        <v>0</v>
      </c>
      <c r="K1488" s="18" t="s">
        <v>162</v>
      </c>
      <c r="T1488" s="3">
        <f t="shared" si="42"/>
        <v>2</v>
      </c>
      <c r="U1488" s="3">
        <v>5</v>
      </c>
      <c r="V1488" s="3">
        <v>1</v>
      </c>
      <c r="X1488" s="2" t="s">
        <v>2232</v>
      </c>
      <c r="Y1488" s="18">
        <v>1</v>
      </c>
      <c r="Z1488" s="18">
        <v>0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N1488" s="3">
        <f t="shared" si="43"/>
        <v>1</v>
      </c>
      <c r="AO1488" s="3">
        <v>4</v>
      </c>
      <c r="AP1488" s="3">
        <v>2</v>
      </c>
      <c r="AR1488" s="2" t="s">
        <v>2302</v>
      </c>
    </row>
    <row r="1489" spans="1:44" ht="12.75" customHeight="1">
      <c r="A1489" s="5">
        <v>43229</v>
      </c>
      <c r="B1489" s="2" t="s">
        <v>152</v>
      </c>
      <c r="C1489" s="2" t="s">
        <v>174</v>
      </c>
      <c r="E1489" s="18">
        <v>1</v>
      </c>
      <c r="F1489" s="18">
        <v>1</v>
      </c>
      <c r="G1489" s="18">
        <v>0</v>
      </c>
      <c r="H1489" s="18">
        <v>0</v>
      </c>
      <c r="I1489" s="18">
        <v>0</v>
      </c>
      <c r="J1489" s="18">
        <v>0</v>
      </c>
      <c r="K1489" s="18">
        <v>1</v>
      </c>
      <c r="T1489" s="3">
        <f t="shared" si="42"/>
        <v>3</v>
      </c>
      <c r="U1489" s="3">
        <v>9</v>
      </c>
      <c r="V1489" s="3">
        <v>2</v>
      </c>
      <c r="X1489" s="2" t="s">
        <v>2233</v>
      </c>
      <c r="Y1489" s="18">
        <v>1</v>
      </c>
      <c r="Z1489" s="18">
        <v>0</v>
      </c>
      <c r="AA1489" s="18">
        <v>1</v>
      </c>
      <c r="AB1489" s="18">
        <v>3</v>
      </c>
      <c r="AC1489" s="18">
        <v>0</v>
      </c>
      <c r="AD1489" s="18">
        <v>2</v>
      </c>
      <c r="AE1489" s="18">
        <v>2</v>
      </c>
      <c r="AN1489" s="3">
        <f t="shared" si="43"/>
        <v>9</v>
      </c>
      <c r="AO1489" s="3">
        <v>8</v>
      </c>
      <c r="AP1489" s="3">
        <v>0</v>
      </c>
      <c r="AR1489" s="2" t="s">
        <v>2301</v>
      </c>
    </row>
    <row r="1490" spans="1:44" ht="12.75" customHeight="1">
      <c r="A1490" s="5">
        <v>43230</v>
      </c>
      <c r="C1490" s="2" t="s">
        <v>236</v>
      </c>
      <c r="E1490" s="18">
        <v>0</v>
      </c>
      <c r="F1490" s="18">
        <v>0</v>
      </c>
      <c r="G1490" s="18">
        <v>0</v>
      </c>
      <c r="H1490" s="18">
        <v>0</v>
      </c>
      <c r="I1490" s="18">
        <v>0</v>
      </c>
      <c r="J1490" s="18">
        <v>1</v>
      </c>
      <c r="K1490" s="18">
        <v>0</v>
      </c>
      <c r="T1490" s="3">
        <f t="shared" si="42"/>
        <v>1</v>
      </c>
      <c r="U1490" s="3">
        <v>5</v>
      </c>
      <c r="V1490" s="3">
        <v>3</v>
      </c>
      <c r="X1490" s="2" t="s">
        <v>2235</v>
      </c>
      <c r="Y1490" s="18">
        <v>0</v>
      </c>
      <c r="Z1490" s="18">
        <v>0</v>
      </c>
      <c r="AA1490" s="18">
        <v>0</v>
      </c>
      <c r="AB1490" s="18">
        <v>0</v>
      </c>
      <c r="AC1490" s="18">
        <v>4</v>
      </c>
      <c r="AD1490" s="18">
        <v>3</v>
      </c>
      <c r="AE1490" s="18" t="s">
        <v>162</v>
      </c>
      <c r="AN1490" s="3">
        <f t="shared" si="43"/>
        <v>7</v>
      </c>
      <c r="AO1490" s="3">
        <v>8</v>
      </c>
      <c r="AP1490" s="3">
        <v>3</v>
      </c>
      <c r="AR1490" s="2" t="s">
        <v>2234</v>
      </c>
    </row>
    <row r="1491" spans="1:44" ht="12.75" customHeight="1">
      <c r="A1491" s="5">
        <v>43242</v>
      </c>
      <c r="B1491" s="2" t="s">
        <v>152</v>
      </c>
      <c r="C1491" s="2" t="s">
        <v>183</v>
      </c>
      <c r="E1491" s="18">
        <v>4</v>
      </c>
      <c r="F1491" s="18">
        <v>2</v>
      </c>
      <c r="G1491" s="18">
        <v>0</v>
      </c>
      <c r="H1491" s="18">
        <v>0</v>
      </c>
      <c r="I1491" s="18">
        <v>0</v>
      </c>
      <c r="J1491" s="18">
        <v>3</v>
      </c>
      <c r="K1491" s="18">
        <v>1</v>
      </c>
      <c r="T1491" s="3">
        <f>SUM(E1491:S1491)</f>
        <v>10</v>
      </c>
      <c r="U1491" s="3">
        <v>7</v>
      </c>
      <c r="V1491" s="3">
        <v>2</v>
      </c>
      <c r="X1491" s="2" t="s">
        <v>2249</v>
      </c>
      <c r="Y1491" s="18">
        <v>2</v>
      </c>
      <c r="Z1491" s="18">
        <v>0</v>
      </c>
      <c r="AA1491" s="18">
        <v>0</v>
      </c>
      <c r="AB1491" s="18">
        <v>1</v>
      </c>
      <c r="AC1491" s="18">
        <v>0</v>
      </c>
      <c r="AD1491" s="18">
        <v>1</v>
      </c>
      <c r="AE1491" s="18">
        <v>0</v>
      </c>
      <c r="AN1491" s="3">
        <f>SUM(Y1491:AM1491)</f>
        <v>4</v>
      </c>
      <c r="AO1491" s="3">
        <v>7</v>
      </c>
      <c r="AP1491" s="3">
        <v>5</v>
      </c>
      <c r="AR1491" s="2" t="s">
        <v>2323</v>
      </c>
    </row>
    <row r="1492" spans="1:44" ht="12.75" customHeight="1">
      <c r="A1492" s="5">
        <v>43243</v>
      </c>
      <c r="B1492" s="2" t="s">
        <v>152</v>
      </c>
      <c r="C1492" s="2" t="s">
        <v>183</v>
      </c>
      <c r="D1492" s="2" t="s">
        <v>258</v>
      </c>
      <c r="E1492" s="18">
        <v>0</v>
      </c>
      <c r="F1492" s="18">
        <v>0</v>
      </c>
      <c r="G1492" s="18">
        <v>5</v>
      </c>
      <c r="H1492" s="18">
        <v>3</v>
      </c>
      <c r="I1492" s="18">
        <v>0</v>
      </c>
      <c r="J1492" s="18">
        <v>0</v>
      </c>
      <c r="K1492" s="18">
        <v>0</v>
      </c>
      <c r="T1492" s="3">
        <f t="shared" si="42"/>
        <v>8</v>
      </c>
      <c r="U1492" s="3">
        <v>13</v>
      </c>
      <c r="V1492" s="3">
        <v>2</v>
      </c>
      <c r="X1492" s="2" t="s">
        <v>2232</v>
      </c>
      <c r="Y1492" s="18">
        <v>0</v>
      </c>
      <c r="Z1492" s="18">
        <v>2</v>
      </c>
      <c r="AA1492" s="18">
        <v>0</v>
      </c>
      <c r="AB1492" s="18">
        <v>0</v>
      </c>
      <c r="AC1492" s="18">
        <v>0</v>
      </c>
      <c r="AD1492" s="18">
        <v>0</v>
      </c>
      <c r="AE1492" s="18">
        <v>0</v>
      </c>
      <c r="AN1492" s="3">
        <f t="shared" si="43"/>
        <v>2</v>
      </c>
      <c r="AO1492" s="3">
        <v>8</v>
      </c>
      <c r="AP1492" s="3">
        <v>1</v>
      </c>
      <c r="AR1492" s="2" t="s">
        <v>2322</v>
      </c>
    </row>
    <row r="1493" spans="1:44" ht="12.75" customHeight="1">
      <c r="A1493" s="5">
        <v>43250</v>
      </c>
      <c r="B1493" s="2" t="s">
        <v>239</v>
      </c>
      <c r="C1493" s="2" t="s">
        <v>367</v>
      </c>
      <c r="D1493" s="2" t="s">
        <v>258</v>
      </c>
      <c r="E1493" s="18">
        <v>0</v>
      </c>
      <c r="F1493" s="18">
        <v>0</v>
      </c>
      <c r="G1493" s="18">
        <v>0</v>
      </c>
      <c r="H1493" s="18">
        <v>1</v>
      </c>
      <c r="I1493" s="18">
        <v>0</v>
      </c>
      <c r="J1493" s="18">
        <v>0</v>
      </c>
      <c r="K1493" s="18">
        <v>1</v>
      </c>
      <c r="T1493" s="3">
        <f t="shared" si="42"/>
        <v>2</v>
      </c>
      <c r="U1493" s="3">
        <v>4</v>
      </c>
      <c r="V1493" s="3">
        <v>2</v>
      </c>
      <c r="X1493" s="2" t="s">
        <v>2232</v>
      </c>
      <c r="Y1493" s="18">
        <v>1</v>
      </c>
      <c r="Z1493" s="18">
        <v>0</v>
      </c>
      <c r="AA1493" s="18">
        <v>0</v>
      </c>
      <c r="AB1493" s="18">
        <v>1</v>
      </c>
      <c r="AC1493" s="18">
        <v>0</v>
      </c>
      <c r="AD1493" s="18">
        <v>0</v>
      </c>
      <c r="AE1493" s="18">
        <v>1</v>
      </c>
      <c r="AN1493" s="3">
        <f t="shared" si="43"/>
        <v>3</v>
      </c>
      <c r="AO1493" s="3">
        <v>3</v>
      </c>
      <c r="AP1493" s="3">
        <v>0</v>
      </c>
      <c r="AR1493" s="2" t="s">
        <v>2236</v>
      </c>
    </row>
    <row r="1494" ht="12.75" customHeight="1"/>
    <row r="1495" spans="1:45" ht="12.75" customHeight="1">
      <c r="A1495" s="5">
        <v>43549</v>
      </c>
      <c r="B1495" s="2" t="s">
        <v>152</v>
      </c>
      <c r="C1495" s="2" t="s">
        <v>374</v>
      </c>
      <c r="E1495" s="18">
        <v>0</v>
      </c>
      <c r="F1495" s="18">
        <v>0</v>
      </c>
      <c r="G1495" s="18">
        <v>4</v>
      </c>
      <c r="H1495" s="18">
        <v>0</v>
      </c>
      <c r="I1495" s="18">
        <v>0</v>
      </c>
      <c r="J1495" s="18">
        <v>3</v>
      </c>
      <c r="K1495" s="18">
        <v>3</v>
      </c>
      <c r="T1495" s="3">
        <f t="shared" si="42"/>
        <v>10</v>
      </c>
      <c r="U1495" s="3">
        <v>6</v>
      </c>
      <c r="V1495" s="3">
        <v>2</v>
      </c>
      <c r="X1495" s="2" t="s">
        <v>2265</v>
      </c>
      <c r="Y1495" s="18">
        <v>0</v>
      </c>
      <c r="Z1495" s="18">
        <v>0</v>
      </c>
      <c r="AA1495" s="18">
        <v>0</v>
      </c>
      <c r="AB1495" s="18">
        <v>1</v>
      </c>
      <c r="AC1495" s="18">
        <v>0</v>
      </c>
      <c r="AD1495" s="18">
        <v>0</v>
      </c>
      <c r="AN1495" s="3">
        <f t="shared" si="43"/>
        <v>1</v>
      </c>
      <c r="AO1495" s="3">
        <v>4</v>
      </c>
      <c r="AP1495" s="3">
        <v>5</v>
      </c>
      <c r="AR1495" s="2" t="s">
        <v>2266</v>
      </c>
      <c r="AS1495" s="2" t="s">
        <v>1848</v>
      </c>
    </row>
    <row r="1496" spans="1:46" ht="12.75" customHeight="1">
      <c r="A1496" s="5">
        <v>43552</v>
      </c>
      <c r="B1496" s="2" t="s">
        <v>152</v>
      </c>
      <c r="C1496" s="2" t="s">
        <v>305</v>
      </c>
      <c r="E1496" s="18">
        <v>3</v>
      </c>
      <c r="F1496" s="18">
        <v>1</v>
      </c>
      <c r="G1496" s="18">
        <v>0</v>
      </c>
      <c r="H1496" s="18">
        <v>0</v>
      </c>
      <c r="I1496" s="18">
        <v>1</v>
      </c>
      <c r="J1496" s="18">
        <v>1</v>
      </c>
      <c r="K1496" s="18">
        <v>0</v>
      </c>
      <c r="T1496" s="3">
        <f t="shared" si="42"/>
        <v>6</v>
      </c>
      <c r="U1496" s="3">
        <v>9</v>
      </c>
      <c r="V1496" s="3">
        <v>3</v>
      </c>
      <c r="X1496" s="2" t="s">
        <v>2238</v>
      </c>
      <c r="Y1496" s="18">
        <v>2</v>
      </c>
      <c r="Z1496" s="18">
        <v>0</v>
      </c>
      <c r="AA1496" s="18">
        <v>4</v>
      </c>
      <c r="AB1496" s="18">
        <v>0</v>
      </c>
      <c r="AC1496" s="18">
        <v>0</v>
      </c>
      <c r="AD1496" s="18">
        <v>2</v>
      </c>
      <c r="AE1496" s="18" t="s">
        <v>162</v>
      </c>
      <c r="AN1496" s="3">
        <f t="shared" si="43"/>
        <v>8</v>
      </c>
      <c r="AO1496" s="3">
        <v>12</v>
      </c>
      <c r="AP1496" s="3">
        <v>5</v>
      </c>
      <c r="AR1496" s="2" t="s">
        <v>2285</v>
      </c>
      <c r="AS1496" s="2" t="s">
        <v>252</v>
      </c>
      <c r="AT1496" s="2">
        <v>10</v>
      </c>
    </row>
    <row r="1497" spans="1:44" ht="12.75" customHeight="1">
      <c r="A1497" s="5">
        <v>43557</v>
      </c>
      <c r="C1497" s="2" t="s">
        <v>236</v>
      </c>
      <c r="E1497" s="18">
        <v>0</v>
      </c>
      <c r="F1497" s="18">
        <v>1</v>
      </c>
      <c r="G1497" s="18">
        <v>0</v>
      </c>
      <c r="H1497" s="18">
        <v>0</v>
      </c>
      <c r="I1497" s="18">
        <v>0</v>
      </c>
      <c r="J1497" s="18">
        <v>0</v>
      </c>
      <c r="K1497" s="18">
        <v>0</v>
      </c>
      <c r="T1497" s="3">
        <f t="shared" si="42"/>
        <v>1</v>
      </c>
      <c r="U1497" s="2">
        <v>6</v>
      </c>
      <c r="V1497" s="3">
        <v>1</v>
      </c>
      <c r="X1497" s="2" t="s">
        <v>2272</v>
      </c>
      <c r="Y1497" s="18">
        <v>0</v>
      </c>
      <c r="Z1497" s="18">
        <v>0</v>
      </c>
      <c r="AA1497" s="18">
        <v>1</v>
      </c>
      <c r="AB1497" s="18">
        <v>0</v>
      </c>
      <c r="AC1497" s="18">
        <v>0</v>
      </c>
      <c r="AD1497" s="18">
        <v>0</v>
      </c>
      <c r="AE1497" s="18">
        <v>1</v>
      </c>
      <c r="AN1497" s="3">
        <f t="shared" si="43"/>
        <v>2</v>
      </c>
      <c r="AO1497" s="3">
        <v>6</v>
      </c>
      <c r="AP1497" s="3">
        <v>1</v>
      </c>
      <c r="AR1497" s="2" t="s">
        <v>2284</v>
      </c>
    </row>
    <row r="1498" spans="1:44" ht="12.75" customHeight="1">
      <c r="A1498" s="5">
        <v>43559</v>
      </c>
      <c r="C1498" s="2" t="s">
        <v>169</v>
      </c>
      <c r="E1498" s="18">
        <v>0</v>
      </c>
      <c r="F1498" s="18">
        <v>0</v>
      </c>
      <c r="G1498" s="18">
        <v>0</v>
      </c>
      <c r="H1498" s="18">
        <v>0</v>
      </c>
      <c r="I1498" s="18">
        <v>5</v>
      </c>
      <c r="J1498" s="18">
        <v>0</v>
      </c>
      <c r="K1498" s="18" t="s">
        <v>162</v>
      </c>
      <c r="T1498" s="3">
        <f t="shared" si="42"/>
        <v>5</v>
      </c>
      <c r="U1498" s="3">
        <v>9</v>
      </c>
      <c r="V1498" s="3">
        <v>3</v>
      </c>
      <c r="X1498" s="2" t="s">
        <v>2237</v>
      </c>
      <c r="Y1498" s="18">
        <v>2</v>
      </c>
      <c r="Z1498" s="18">
        <v>0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N1498" s="3">
        <f t="shared" si="43"/>
        <v>2</v>
      </c>
      <c r="AO1498" s="3">
        <v>3</v>
      </c>
      <c r="AP1498" s="3">
        <v>2</v>
      </c>
      <c r="AR1498" s="2" t="s">
        <v>2254</v>
      </c>
    </row>
    <row r="1499" spans="1:44" ht="12.75" customHeight="1">
      <c r="A1499" s="5">
        <v>43561</v>
      </c>
      <c r="B1499" s="2" t="s">
        <v>152</v>
      </c>
      <c r="C1499" s="2" t="s">
        <v>297</v>
      </c>
      <c r="E1499" s="18">
        <v>1</v>
      </c>
      <c r="F1499" s="18">
        <v>0</v>
      </c>
      <c r="G1499" s="18">
        <v>0</v>
      </c>
      <c r="H1499" s="18">
        <v>0</v>
      </c>
      <c r="I1499" s="18">
        <v>0</v>
      </c>
      <c r="J1499" s="18">
        <v>0</v>
      </c>
      <c r="K1499" s="18">
        <v>0</v>
      </c>
      <c r="L1499" s="18">
        <v>1</v>
      </c>
      <c r="M1499" s="18">
        <v>0</v>
      </c>
      <c r="T1499" s="3">
        <f t="shared" si="42"/>
        <v>2</v>
      </c>
      <c r="U1499" s="3">
        <v>12</v>
      </c>
      <c r="V1499" s="3">
        <v>3</v>
      </c>
      <c r="X1499" s="2" t="s">
        <v>2296</v>
      </c>
      <c r="Y1499" s="18">
        <v>0</v>
      </c>
      <c r="Z1499" s="18">
        <v>0</v>
      </c>
      <c r="AA1499" s="18">
        <v>0</v>
      </c>
      <c r="AB1499" s="18">
        <v>0</v>
      </c>
      <c r="AC1499" s="18">
        <v>0</v>
      </c>
      <c r="AD1499" s="18">
        <v>0</v>
      </c>
      <c r="AE1499" s="18">
        <v>1</v>
      </c>
      <c r="AF1499" s="18">
        <v>1</v>
      </c>
      <c r="AG1499" s="18">
        <v>1</v>
      </c>
      <c r="AN1499" s="3">
        <f t="shared" si="43"/>
        <v>3</v>
      </c>
      <c r="AO1499" s="3">
        <v>10</v>
      </c>
      <c r="AP1499" s="3">
        <v>2</v>
      </c>
      <c r="AR1499" s="2" t="s">
        <v>2283</v>
      </c>
    </row>
    <row r="1500" spans="1:44" ht="12.75" customHeight="1">
      <c r="A1500" s="5">
        <v>43563</v>
      </c>
      <c r="C1500" s="2" t="s">
        <v>379</v>
      </c>
      <c r="E1500" s="18">
        <v>0</v>
      </c>
      <c r="F1500" s="18">
        <v>0</v>
      </c>
      <c r="G1500" s="18">
        <v>4</v>
      </c>
      <c r="H1500" s="18">
        <v>0</v>
      </c>
      <c r="I1500" s="18">
        <v>2</v>
      </c>
      <c r="J1500" s="18">
        <v>0</v>
      </c>
      <c r="K1500" s="18" t="s">
        <v>162</v>
      </c>
      <c r="T1500" s="3">
        <f t="shared" si="42"/>
        <v>6</v>
      </c>
      <c r="U1500" s="3">
        <v>9</v>
      </c>
      <c r="V1500" s="3">
        <v>2</v>
      </c>
      <c r="X1500" s="2" t="s">
        <v>2193</v>
      </c>
      <c r="Y1500" s="18">
        <v>0</v>
      </c>
      <c r="Z1500" s="18">
        <v>1</v>
      </c>
      <c r="AA1500" s="18">
        <v>0</v>
      </c>
      <c r="AB1500" s="18">
        <v>0</v>
      </c>
      <c r="AC1500" s="18">
        <v>1</v>
      </c>
      <c r="AD1500" s="18">
        <v>0</v>
      </c>
      <c r="AE1500" s="18">
        <v>0</v>
      </c>
      <c r="AN1500" s="3">
        <f t="shared" si="43"/>
        <v>2</v>
      </c>
      <c r="AO1500" s="3">
        <v>7</v>
      </c>
      <c r="AP1500" s="3">
        <v>2</v>
      </c>
      <c r="AR1500" s="2" t="s">
        <v>2300</v>
      </c>
    </row>
    <row r="1501" spans="1:44" ht="12.75" customHeight="1">
      <c r="A1501" s="5">
        <v>43564</v>
      </c>
      <c r="C1501" s="2" t="s">
        <v>192</v>
      </c>
      <c r="E1501" s="18">
        <v>3</v>
      </c>
      <c r="F1501" s="18">
        <v>3</v>
      </c>
      <c r="G1501" s="18">
        <v>3</v>
      </c>
      <c r="H1501" s="18">
        <v>0</v>
      </c>
      <c r="I1501" s="18">
        <v>10</v>
      </c>
      <c r="J1501" s="18">
        <v>3</v>
      </c>
      <c r="T1501" s="3">
        <f t="shared" si="42"/>
        <v>22</v>
      </c>
      <c r="U1501" s="3">
        <v>14</v>
      </c>
      <c r="V1501" s="3">
        <v>2</v>
      </c>
      <c r="X1501" s="2" t="s">
        <v>2252</v>
      </c>
      <c r="Y1501" s="18">
        <v>2</v>
      </c>
      <c r="Z1501" s="18">
        <v>6</v>
      </c>
      <c r="AA1501" s="18">
        <v>1</v>
      </c>
      <c r="AB1501" s="18">
        <v>2</v>
      </c>
      <c r="AC1501" s="18">
        <v>1</v>
      </c>
      <c r="AD1501" s="18">
        <v>0</v>
      </c>
      <c r="AN1501" s="3">
        <f t="shared" si="43"/>
        <v>12</v>
      </c>
      <c r="AO1501" s="3">
        <v>12</v>
      </c>
      <c r="AP1501" s="3">
        <v>6</v>
      </c>
      <c r="AR1501" s="2" t="s">
        <v>2253</v>
      </c>
    </row>
    <row r="1502" spans="1:44" ht="12.75" customHeight="1">
      <c r="A1502" s="5">
        <v>43566</v>
      </c>
      <c r="B1502" s="2" t="s">
        <v>2224</v>
      </c>
      <c r="C1502" s="2" t="s">
        <v>943</v>
      </c>
      <c r="E1502" s="18">
        <v>4</v>
      </c>
      <c r="F1502" s="18">
        <v>3</v>
      </c>
      <c r="G1502" s="18">
        <v>0</v>
      </c>
      <c r="H1502" s="18">
        <v>1</v>
      </c>
      <c r="I1502" s="18">
        <v>0</v>
      </c>
      <c r="J1502" s="18">
        <v>0</v>
      </c>
      <c r="K1502" s="18">
        <v>2</v>
      </c>
      <c r="T1502" s="3">
        <f t="shared" si="42"/>
        <v>10</v>
      </c>
      <c r="U1502" s="3">
        <v>11</v>
      </c>
      <c r="V1502" s="3">
        <v>2</v>
      </c>
      <c r="X1502" s="2" t="s">
        <v>2299</v>
      </c>
      <c r="Y1502" s="18">
        <v>0</v>
      </c>
      <c r="Z1502" s="18">
        <v>4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N1502" s="3">
        <f t="shared" si="43"/>
        <v>4</v>
      </c>
      <c r="AO1502" s="3">
        <v>8</v>
      </c>
      <c r="AP1502" s="3">
        <v>3</v>
      </c>
      <c r="AR1502" s="2" t="s">
        <v>2298</v>
      </c>
    </row>
    <row r="1503" spans="1:44" ht="12.75" customHeight="1">
      <c r="A1503" s="5">
        <v>43572</v>
      </c>
      <c r="B1503" s="2" t="s">
        <v>152</v>
      </c>
      <c r="C1503" s="2" t="s">
        <v>174</v>
      </c>
      <c r="E1503" s="18">
        <v>0</v>
      </c>
      <c r="F1503" s="18">
        <v>0</v>
      </c>
      <c r="G1503" s="18">
        <v>0</v>
      </c>
      <c r="H1503" s="18">
        <v>0</v>
      </c>
      <c r="I1503" s="18">
        <v>0</v>
      </c>
      <c r="J1503" s="18">
        <v>0</v>
      </c>
      <c r="K1503" s="18">
        <v>0</v>
      </c>
      <c r="T1503" s="3">
        <f t="shared" si="42"/>
        <v>0</v>
      </c>
      <c r="U1503" s="3">
        <v>6</v>
      </c>
      <c r="V1503" s="3">
        <v>2</v>
      </c>
      <c r="X1503" s="2" t="s">
        <v>2282</v>
      </c>
      <c r="Y1503" s="18">
        <v>0</v>
      </c>
      <c r="Z1503" s="18">
        <v>1</v>
      </c>
      <c r="AA1503" s="18">
        <v>3</v>
      </c>
      <c r="AB1503" s="18">
        <v>0</v>
      </c>
      <c r="AC1503" s="18">
        <v>2</v>
      </c>
      <c r="AD1503" s="18">
        <v>2</v>
      </c>
      <c r="AE1503" s="18" t="s">
        <v>162</v>
      </c>
      <c r="AN1503" s="3">
        <f t="shared" si="43"/>
        <v>8</v>
      </c>
      <c r="AO1503" s="3">
        <v>7</v>
      </c>
      <c r="AP1503" s="3">
        <v>0</v>
      </c>
      <c r="AR1503" s="2" t="s">
        <v>2281</v>
      </c>
    </row>
    <row r="1504" spans="1:44" ht="12.75" customHeight="1">
      <c r="A1504" s="5">
        <v>43573</v>
      </c>
      <c r="C1504" s="2" t="s">
        <v>374</v>
      </c>
      <c r="E1504" s="18">
        <v>2</v>
      </c>
      <c r="F1504" s="18">
        <v>0</v>
      </c>
      <c r="G1504" s="18">
        <v>0</v>
      </c>
      <c r="H1504" s="18">
        <v>0</v>
      </c>
      <c r="I1504" s="18">
        <v>0</v>
      </c>
      <c r="J1504" s="18">
        <v>2</v>
      </c>
      <c r="K1504" s="18" t="s">
        <v>162</v>
      </c>
      <c r="T1504" s="3">
        <f t="shared" si="42"/>
        <v>4</v>
      </c>
      <c r="U1504" s="3">
        <v>4</v>
      </c>
      <c r="V1504" s="3">
        <v>2</v>
      </c>
      <c r="X1504" s="2" t="s">
        <v>2237</v>
      </c>
      <c r="Y1504" s="18">
        <v>0</v>
      </c>
      <c r="Z1504" s="18">
        <v>0</v>
      </c>
      <c r="AA1504" s="18">
        <v>2</v>
      </c>
      <c r="AB1504" s="18">
        <v>0</v>
      </c>
      <c r="AC1504" s="18">
        <v>0</v>
      </c>
      <c r="AD1504" s="18">
        <v>0</v>
      </c>
      <c r="AE1504" s="18">
        <v>0</v>
      </c>
      <c r="AN1504" s="3">
        <f t="shared" si="43"/>
        <v>2</v>
      </c>
      <c r="AO1504" s="3">
        <v>2</v>
      </c>
      <c r="AP1504" s="3">
        <v>3</v>
      </c>
      <c r="AR1504" s="2" t="s">
        <v>2280</v>
      </c>
    </row>
    <row r="1505" spans="1:44" ht="12.75" customHeight="1">
      <c r="A1505" s="5">
        <v>43578</v>
      </c>
      <c r="C1505" s="2" t="s">
        <v>305</v>
      </c>
      <c r="E1505" s="18">
        <v>0</v>
      </c>
      <c r="F1505" s="18">
        <v>1</v>
      </c>
      <c r="G1505" s="18">
        <v>0</v>
      </c>
      <c r="H1505" s="18">
        <v>4</v>
      </c>
      <c r="I1505" s="18">
        <v>0</v>
      </c>
      <c r="J1505" s="18">
        <v>1</v>
      </c>
      <c r="K1505" s="18" t="s">
        <v>162</v>
      </c>
      <c r="T1505" s="3">
        <f t="shared" si="42"/>
        <v>6</v>
      </c>
      <c r="U1505" s="3">
        <v>4</v>
      </c>
      <c r="V1505" s="3">
        <v>3</v>
      </c>
      <c r="X1505" s="2" t="s">
        <v>2279</v>
      </c>
      <c r="Y1505" s="18">
        <v>1</v>
      </c>
      <c r="Z1505" s="18">
        <v>0</v>
      </c>
      <c r="AA1505" s="18">
        <v>1</v>
      </c>
      <c r="AB1505" s="18">
        <v>1</v>
      </c>
      <c r="AC1505" s="18">
        <v>0</v>
      </c>
      <c r="AD1505" s="18">
        <v>0</v>
      </c>
      <c r="AE1505" s="18">
        <v>1</v>
      </c>
      <c r="AN1505" s="3">
        <f t="shared" si="43"/>
        <v>4</v>
      </c>
      <c r="AO1505" s="3">
        <v>7</v>
      </c>
      <c r="AP1505" s="3">
        <v>1</v>
      </c>
      <c r="AR1505" s="2" t="s">
        <v>2278</v>
      </c>
    </row>
    <row r="1506" spans="1:44" ht="12.75" customHeight="1">
      <c r="A1506" s="5">
        <v>43580</v>
      </c>
      <c r="B1506" s="2" t="s">
        <v>152</v>
      </c>
      <c r="C1506" s="2" t="s">
        <v>236</v>
      </c>
      <c r="E1506" s="18">
        <v>0</v>
      </c>
      <c r="F1506" s="18">
        <v>0</v>
      </c>
      <c r="G1506" s="18">
        <v>0</v>
      </c>
      <c r="H1506" s="18">
        <v>0</v>
      </c>
      <c r="I1506" s="18">
        <v>0</v>
      </c>
      <c r="J1506" s="18">
        <v>3</v>
      </c>
      <c r="K1506" s="18">
        <v>0</v>
      </c>
      <c r="T1506" s="3">
        <f t="shared" si="42"/>
        <v>3</v>
      </c>
      <c r="U1506" s="3">
        <v>7</v>
      </c>
      <c r="V1506" s="3">
        <v>1</v>
      </c>
      <c r="X1506" s="2" t="s">
        <v>2238</v>
      </c>
      <c r="Y1506" s="18">
        <v>0</v>
      </c>
      <c r="Z1506" s="18">
        <v>0</v>
      </c>
      <c r="AA1506" s="18">
        <v>1</v>
      </c>
      <c r="AB1506" s="18">
        <v>2</v>
      </c>
      <c r="AC1506" s="18">
        <v>1</v>
      </c>
      <c r="AD1506" s="18">
        <v>0</v>
      </c>
      <c r="AE1506" s="18" t="s">
        <v>162</v>
      </c>
      <c r="AN1506" s="3">
        <f t="shared" si="43"/>
        <v>4</v>
      </c>
      <c r="AO1506" s="3">
        <v>8</v>
      </c>
      <c r="AP1506" s="3">
        <v>1</v>
      </c>
      <c r="AR1506" s="2" t="s">
        <v>2277</v>
      </c>
    </row>
    <row r="1507" spans="1:44" ht="12.75" customHeight="1">
      <c r="A1507" s="5">
        <v>43584</v>
      </c>
      <c r="C1507" s="2" t="s">
        <v>183</v>
      </c>
      <c r="E1507" s="18">
        <v>4</v>
      </c>
      <c r="F1507" s="18">
        <v>0</v>
      </c>
      <c r="G1507" s="18">
        <v>0</v>
      </c>
      <c r="H1507" s="18">
        <v>0</v>
      </c>
      <c r="I1507" s="18">
        <v>1</v>
      </c>
      <c r="J1507" s="18">
        <v>0</v>
      </c>
      <c r="K1507" s="18">
        <v>0</v>
      </c>
      <c r="T1507" s="3">
        <f t="shared" si="42"/>
        <v>5</v>
      </c>
      <c r="U1507" s="3">
        <v>5</v>
      </c>
      <c r="V1507" s="3">
        <v>1</v>
      </c>
      <c r="X1507" s="2" t="s">
        <v>2251</v>
      </c>
      <c r="Y1507" s="18">
        <v>0</v>
      </c>
      <c r="Z1507" s="18">
        <v>0</v>
      </c>
      <c r="AA1507" s="18">
        <v>3</v>
      </c>
      <c r="AB1507" s="18">
        <v>0</v>
      </c>
      <c r="AC1507" s="18">
        <v>3</v>
      </c>
      <c r="AD1507" s="18">
        <v>0</v>
      </c>
      <c r="AE1507" s="18">
        <v>0</v>
      </c>
      <c r="AN1507" s="3">
        <f t="shared" si="43"/>
        <v>6</v>
      </c>
      <c r="AO1507" s="3">
        <v>8</v>
      </c>
      <c r="AP1507" s="3">
        <v>4</v>
      </c>
      <c r="AR1507" s="2" t="s">
        <v>2276</v>
      </c>
    </row>
    <row r="1508" spans="1:44" ht="12.75" customHeight="1">
      <c r="A1508" s="5">
        <v>43585</v>
      </c>
      <c r="C1508" s="2" t="s">
        <v>297</v>
      </c>
      <c r="E1508" s="18">
        <v>2</v>
      </c>
      <c r="F1508" s="18">
        <v>0</v>
      </c>
      <c r="G1508" s="18">
        <v>0</v>
      </c>
      <c r="H1508" s="18">
        <v>1</v>
      </c>
      <c r="I1508" s="18">
        <v>0</v>
      </c>
      <c r="J1508" s="18">
        <v>0</v>
      </c>
      <c r="T1508" s="3">
        <f t="shared" si="42"/>
        <v>3</v>
      </c>
      <c r="U1508" s="3">
        <v>7</v>
      </c>
      <c r="V1508" s="3">
        <v>3</v>
      </c>
      <c r="X1508" s="2" t="s">
        <v>2275</v>
      </c>
      <c r="Y1508" s="18">
        <v>2</v>
      </c>
      <c r="Z1508" s="18">
        <v>1</v>
      </c>
      <c r="AA1508" s="18">
        <v>0</v>
      </c>
      <c r="AB1508" s="18">
        <v>4</v>
      </c>
      <c r="AC1508" s="18">
        <v>4</v>
      </c>
      <c r="AD1508" s="18">
        <v>2</v>
      </c>
      <c r="AN1508" s="3">
        <f t="shared" si="43"/>
        <v>13</v>
      </c>
      <c r="AO1508" s="3">
        <v>11</v>
      </c>
      <c r="AP1508" s="3">
        <v>0</v>
      </c>
      <c r="AR1508" s="2" t="s">
        <v>2274</v>
      </c>
    </row>
    <row r="1509" spans="1:44" ht="12.75" customHeight="1">
      <c r="A1509" s="5">
        <v>43588</v>
      </c>
      <c r="B1509" s="2" t="s">
        <v>152</v>
      </c>
      <c r="C1509" s="2" t="s">
        <v>379</v>
      </c>
      <c r="E1509" s="18">
        <v>2</v>
      </c>
      <c r="F1509" s="18">
        <v>0</v>
      </c>
      <c r="G1509" s="18">
        <v>0</v>
      </c>
      <c r="H1509" s="18">
        <v>0</v>
      </c>
      <c r="I1509" s="18">
        <v>1</v>
      </c>
      <c r="J1509" s="18">
        <v>0</v>
      </c>
      <c r="K1509" s="18">
        <v>1</v>
      </c>
      <c r="T1509" s="3">
        <f t="shared" si="42"/>
        <v>4</v>
      </c>
      <c r="U1509" s="3">
        <v>9</v>
      </c>
      <c r="V1509" s="3">
        <v>1</v>
      </c>
      <c r="X1509" s="2" t="s">
        <v>2231</v>
      </c>
      <c r="Y1509" s="18">
        <v>0</v>
      </c>
      <c r="Z1509" s="18">
        <v>0</v>
      </c>
      <c r="AA1509" s="18">
        <v>1</v>
      </c>
      <c r="AB1509" s="18">
        <v>1</v>
      </c>
      <c r="AC1509" s="18">
        <v>0</v>
      </c>
      <c r="AD1509" s="18">
        <v>1</v>
      </c>
      <c r="AE1509" s="18">
        <v>0</v>
      </c>
      <c r="AN1509" s="3">
        <f t="shared" si="43"/>
        <v>3</v>
      </c>
      <c r="AO1509" s="3">
        <v>10</v>
      </c>
      <c r="AP1509" s="3">
        <v>1</v>
      </c>
      <c r="AR1509" s="2" t="s">
        <v>2247</v>
      </c>
    </row>
    <row r="1510" spans="1:44" ht="12.75" customHeight="1">
      <c r="A1510" s="5">
        <v>43592</v>
      </c>
      <c r="C1510" s="2" t="s">
        <v>943</v>
      </c>
      <c r="E1510" s="18">
        <v>0</v>
      </c>
      <c r="F1510" s="18">
        <v>4</v>
      </c>
      <c r="G1510" s="18">
        <v>1</v>
      </c>
      <c r="H1510" s="18">
        <v>0</v>
      </c>
      <c r="I1510" s="18">
        <v>0</v>
      </c>
      <c r="J1510" s="18">
        <v>0</v>
      </c>
      <c r="K1510" s="18">
        <v>0</v>
      </c>
      <c r="L1510" s="18">
        <v>0</v>
      </c>
      <c r="T1510" s="3">
        <f t="shared" si="42"/>
        <v>5</v>
      </c>
      <c r="U1510" s="3">
        <v>3</v>
      </c>
      <c r="V1510" s="3">
        <v>0</v>
      </c>
      <c r="X1510" s="2" t="s">
        <v>2272</v>
      </c>
      <c r="Y1510" s="18">
        <v>2</v>
      </c>
      <c r="Z1510" s="18">
        <v>2</v>
      </c>
      <c r="AA1510" s="18">
        <v>0</v>
      </c>
      <c r="AB1510" s="18">
        <v>0</v>
      </c>
      <c r="AC1510" s="18">
        <v>0</v>
      </c>
      <c r="AD1510" s="18">
        <v>1</v>
      </c>
      <c r="AE1510" s="18">
        <v>0</v>
      </c>
      <c r="AF1510" s="18">
        <v>5</v>
      </c>
      <c r="AN1510" s="3">
        <f t="shared" si="43"/>
        <v>10</v>
      </c>
      <c r="AO1510" s="3">
        <v>11</v>
      </c>
      <c r="AP1510" s="3">
        <v>1</v>
      </c>
      <c r="AR1510" s="2" t="s">
        <v>2273</v>
      </c>
    </row>
    <row r="1511" spans="1:44" ht="12.75" customHeight="1">
      <c r="A1511" s="5">
        <v>43593</v>
      </c>
      <c r="B1511" s="2" t="s">
        <v>152</v>
      </c>
      <c r="C1511" s="2" t="s">
        <v>138</v>
      </c>
      <c r="E1511" s="18">
        <v>0</v>
      </c>
      <c r="F1511" s="18">
        <v>1</v>
      </c>
      <c r="G1511" s="18">
        <v>0</v>
      </c>
      <c r="H1511" s="18">
        <v>0</v>
      </c>
      <c r="I1511" s="18">
        <v>1</v>
      </c>
      <c r="J1511" s="18">
        <v>0</v>
      </c>
      <c r="K1511" s="18">
        <v>0</v>
      </c>
      <c r="T1511" s="3">
        <f t="shared" si="42"/>
        <v>2</v>
      </c>
      <c r="U1511" s="3">
        <v>3</v>
      </c>
      <c r="V1511" s="3">
        <v>1</v>
      </c>
      <c r="X1511" s="2" t="s">
        <v>2231</v>
      </c>
      <c r="Y1511" s="18">
        <v>1</v>
      </c>
      <c r="Z1511" s="18">
        <v>0</v>
      </c>
      <c r="AA1511" s="18">
        <v>0</v>
      </c>
      <c r="AB1511" s="18">
        <v>0</v>
      </c>
      <c r="AC1511" s="18">
        <v>0</v>
      </c>
      <c r="AD1511" s="18">
        <v>0</v>
      </c>
      <c r="AE1511" s="18">
        <v>0</v>
      </c>
      <c r="AN1511" s="3">
        <f t="shared" si="43"/>
        <v>1</v>
      </c>
      <c r="AO1511" s="3">
        <v>7</v>
      </c>
      <c r="AP1511" s="3">
        <v>4</v>
      </c>
      <c r="AR1511" s="2" t="s">
        <v>2271</v>
      </c>
    </row>
    <row r="1512" spans="1:44" ht="12.75" customHeight="1">
      <c r="A1512" s="5">
        <v>43594</v>
      </c>
      <c r="C1512" s="2" t="s">
        <v>174</v>
      </c>
      <c r="E1512" s="18">
        <v>1</v>
      </c>
      <c r="F1512" s="18">
        <v>1</v>
      </c>
      <c r="G1512" s="18">
        <v>1</v>
      </c>
      <c r="H1512" s="18">
        <v>0</v>
      </c>
      <c r="I1512" s="18">
        <v>7</v>
      </c>
      <c r="J1512" s="18">
        <v>0</v>
      </c>
      <c r="T1512" s="3">
        <f t="shared" si="42"/>
        <v>10</v>
      </c>
      <c r="U1512" s="3">
        <v>13</v>
      </c>
      <c r="V1512" s="3">
        <v>3</v>
      </c>
      <c r="X1512" s="2" t="s">
        <v>2269</v>
      </c>
      <c r="Y1512" s="18">
        <v>8</v>
      </c>
      <c r="Z1512" s="18">
        <v>0</v>
      </c>
      <c r="AA1512" s="18">
        <v>1</v>
      </c>
      <c r="AB1512" s="18">
        <v>0</v>
      </c>
      <c r="AC1512" s="18">
        <v>7</v>
      </c>
      <c r="AD1512" s="18">
        <v>7</v>
      </c>
      <c r="AN1512" s="3">
        <f t="shared" si="43"/>
        <v>23</v>
      </c>
      <c r="AO1512" s="3">
        <v>16</v>
      </c>
      <c r="AP1512" s="3">
        <v>2</v>
      </c>
      <c r="AR1512" s="2" t="s">
        <v>2270</v>
      </c>
    </row>
    <row r="1513" spans="1:44" ht="12.75" customHeight="1">
      <c r="A1513" s="5">
        <v>43601</v>
      </c>
      <c r="B1513" s="2" t="s">
        <v>152</v>
      </c>
      <c r="C1513" s="2" t="s">
        <v>169</v>
      </c>
      <c r="E1513" s="18">
        <v>0</v>
      </c>
      <c r="F1513" s="18">
        <v>5</v>
      </c>
      <c r="G1513" s="18">
        <v>1</v>
      </c>
      <c r="H1513" s="18">
        <v>5</v>
      </c>
      <c r="I1513" s="18">
        <v>2</v>
      </c>
      <c r="T1513" s="3">
        <f t="shared" si="42"/>
        <v>13</v>
      </c>
      <c r="U1513" s="3">
        <v>13</v>
      </c>
      <c r="V1513" s="3">
        <v>0</v>
      </c>
      <c r="X1513" s="2" t="s">
        <v>2267</v>
      </c>
      <c r="Y1513" s="18">
        <v>0</v>
      </c>
      <c r="Z1513" s="18">
        <v>0</v>
      </c>
      <c r="AA1513" s="18">
        <v>0</v>
      </c>
      <c r="AB1513" s="18">
        <v>0</v>
      </c>
      <c r="AC1513" s="18">
        <v>0</v>
      </c>
      <c r="AN1513" s="3">
        <f t="shared" si="43"/>
        <v>0</v>
      </c>
      <c r="AO1513" s="3">
        <v>0</v>
      </c>
      <c r="AP1513" s="3">
        <v>6</v>
      </c>
      <c r="AR1513" s="2" t="s">
        <v>2268</v>
      </c>
    </row>
    <row r="1514" spans="1:44" ht="12.75" customHeight="1">
      <c r="A1514" s="5">
        <v>43602</v>
      </c>
      <c r="B1514" s="2" t="s">
        <v>152</v>
      </c>
      <c r="C1514" s="2" t="s">
        <v>191</v>
      </c>
      <c r="E1514" s="18">
        <v>3</v>
      </c>
      <c r="F1514" s="18">
        <v>0</v>
      </c>
      <c r="G1514" s="18">
        <v>0</v>
      </c>
      <c r="H1514" s="18">
        <v>2</v>
      </c>
      <c r="I1514" s="18">
        <v>2</v>
      </c>
      <c r="J1514" s="18">
        <v>0</v>
      </c>
      <c r="K1514" s="18">
        <v>1</v>
      </c>
      <c r="T1514" s="3">
        <f t="shared" si="42"/>
        <v>8</v>
      </c>
      <c r="U1514" s="3">
        <v>11</v>
      </c>
      <c r="V1514" s="3">
        <v>0</v>
      </c>
      <c r="X1514" s="2" t="s">
        <v>2237</v>
      </c>
      <c r="Y1514" s="18">
        <v>0</v>
      </c>
      <c r="Z1514" s="18">
        <v>0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N1514" s="3">
        <f t="shared" si="43"/>
        <v>0</v>
      </c>
      <c r="AO1514" s="3">
        <v>2</v>
      </c>
      <c r="AP1514" s="3">
        <v>0</v>
      </c>
      <c r="AR1514" s="2" t="s">
        <v>2297</v>
      </c>
    </row>
    <row r="1515" spans="1:44" ht="12.75" customHeight="1">
      <c r="A1515" s="5">
        <v>43609</v>
      </c>
      <c r="B1515" s="2" t="s">
        <v>239</v>
      </c>
      <c r="C1515" s="2" t="s">
        <v>367</v>
      </c>
      <c r="D1515" s="2" t="s">
        <v>258</v>
      </c>
      <c r="E1515" s="18">
        <v>1</v>
      </c>
      <c r="F1515" s="18">
        <v>0</v>
      </c>
      <c r="G1515" s="18">
        <v>0</v>
      </c>
      <c r="H1515" s="18">
        <v>0</v>
      </c>
      <c r="I1515" s="18">
        <v>4</v>
      </c>
      <c r="J1515" s="18">
        <v>0</v>
      </c>
      <c r="K1515" s="18">
        <v>0</v>
      </c>
      <c r="T1515" s="3">
        <f>SUM(E1515:S1515)</f>
        <v>5</v>
      </c>
      <c r="U1515" s="3">
        <v>3</v>
      </c>
      <c r="V1515" s="3">
        <v>1</v>
      </c>
      <c r="X1515" s="2" t="s">
        <v>2251</v>
      </c>
      <c r="Y1515" s="18">
        <v>1</v>
      </c>
      <c r="Z1515" s="18">
        <v>0</v>
      </c>
      <c r="AA1515" s="18">
        <v>0</v>
      </c>
      <c r="AB1515" s="18">
        <v>0</v>
      </c>
      <c r="AC1515" s="18">
        <v>0</v>
      </c>
      <c r="AD1515" s="18">
        <v>0</v>
      </c>
      <c r="AE1515" s="18">
        <v>0</v>
      </c>
      <c r="AN1515" s="3">
        <f>SUM(Y1515:AM1515)</f>
        <v>1</v>
      </c>
      <c r="AO1515" s="3">
        <v>2</v>
      </c>
      <c r="AP1515" s="3">
        <v>4</v>
      </c>
      <c r="AR1515" s="2" t="s">
        <v>2250</v>
      </c>
    </row>
    <row r="1516" spans="1:44" ht="12.75" customHeight="1">
      <c r="A1516" s="5">
        <v>43614</v>
      </c>
      <c r="B1516" s="2" t="s">
        <v>239</v>
      </c>
      <c r="C1516" s="2" t="s">
        <v>183</v>
      </c>
      <c r="D1516" s="2" t="s">
        <v>258</v>
      </c>
      <c r="E1516" s="18">
        <v>0</v>
      </c>
      <c r="F1516" s="18">
        <v>0</v>
      </c>
      <c r="G1516" s="18">
        <v>2</v>
      </c>
      <c r="H1516" s="18">
        <v>0</v>
      </c>
      <c r="I1516" s="18">
        <v>1</v>
      </c>
      <c r="J1516" s="18">
        <v>0</v>
      </c>
      <c r="K1516" s="18">
        <v>0</v>
      </c>
      <c r="T1516" s="3">
        <f t="shared" si="42"/>
        <v>3</v>
      </c>
      <c r="U1516" s="3">
        <v>3</v>
      </c>
      <c r="V1516" s="3">
        <v>1</v>
      </c>
      <c r="X1516" s="2" t="s">
        <v>2249</v>
      </c>
      <c r="Y1516" s="18">
        <v>2</v>
      </c>
      <c r="Z1516" s="18">
        <v>2</v>
      </c>
      <c r="AA1516" s="18">
        <v>0</v>
      </c>
      <c r="AB1516" s="18">
        <v>0</v>
      </c>
      <c r="AC1516" s="18">
        <v>1</v>
      </c>
      <c r="AD1516" s="18">
        <v>0</v>
      </c>
      <c r="AE1516" s="18">
        <v>0</v>
      </c>
      <c r="AN1516" s="3">
        <f t="shared" si="43"/>
        <v>5</v>
      </c>
      <c r="AO1516" s="3">
        <v>3</v>
      </c>
      <c r="AP1516" s="3">
        <v>4</v>
      </c>
      <c r="AR1516" s="2" t="s">
        <v>2248</v>
      </c>
    </row>
    <row r="1517" ht="12.75" customHeight="1"/>
    <row r="1518" spans="1:45" ht="12.75" customHeight="1">
      <c r="A1518" s="9" t="s">
        <v>2223</v>
      </c>
      <c r="C1518" s="29" t="s">
        <v>2222</v>
      </c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AS1518" s="2" t="s">
        <v>1848</v>
      </c>
    </row>
    <row r="1520" spans="1:45" ht="12.75">
      <c r="A1520" s="5">
        <v>44285</v>
      </c>
      <c r="B1520" s="2" t="s">
        <v>152</v>
      </c>
      <c r="C1520" s="2" t="s">
        <v>943</v>
      </c>
      <c r="E1520" s="18">
        <v>0</v>
      </c>
      <c r="F1520" s="18">
        <v>0</v>
      </c>
      <c r="G1520" s="18">
        <v>0</v>
      </c>
      <c r="H1520" s="18">
        <v>0</v>
      </c>
      <c r="I1520" s="18">
        <v>0</v>
      </c>
      <c r="T1520" s="3">
        <f t="shared" si="42"/>
        <v>0</v>
      </c>
      <c r="U1520" s="3">
        <v>0</v>
      </c>
      <c r="V1520" s="3">
        <v>3</v>
      </c>
      <c r="X1520" s="2" t="s">
        <v>2226</v>
      </c>
      <c r="Y1520" s="18">
        <v>0</v>
      </c>
      <c r="Z1520" s="18">
        <v>2</v>
      </c>
      <c r="AA1520" s="18">
        <v>1</v>
      </c>
      <c r="AB1520" s="18">
        <v>4</v>
      </c>
      <c r="AC1520" s="18">
        <v>3</v>
      </c>
      <c r="AN1520" s="3">
        <f t="shared" si="43"/>
        <v>10</v>
      </c>
      <c r="AO1520" s="3">
        <v>14</v>
      </c>
      <c r="AP1520" s="3">
        <v>0</v>
      </c>
      <c r="AR1520" s="2" t="s">
        <v>2227</v>
      </c>
      <c r="AS1520" s="2" t="s">
        <v>1848</v>
      </c>
    </row>
    <row r="1521" spans="1:47" ht="12.75">
      <c r="A1521" s="5">
        <v>44291</v>
      </c>
      <c r="B1521" s="2" t="s">
        <v>152</v>
      </c>
      <c r="C1521" s="2" t="s">
        <v>183</v>
      </c>
      <c r="E1521" s="18">
        <v>0</v>
      </c>
      <c r="F1521" s="18">
        <v>6</v>
      </c>
      <c r="G1521" s="18">
        <v>1</v>
      </c>
      <c r="H1521" s="18">
        <v>1</v>
      </c>
      <c r="I1521" s="18">
        <v>0</v>
      </c>
      <c r="J1521" s="18">
        <v>0</v>
      </c>
      <c r="K1521" s="18">
        <v>0</v>
      </c>
      <c r="T1521" s="3">
        <f t="shared" si="42"/>
        <v>8</v>
      </c>
      <c r="U1521" s="3">
        <v>11</v>
      </c>
      <c r="V1521" s="3">
        <v>2</v>
      </c>
      <c r="X1521" s="2" t="s">
        <v>2229</v>
      </c>
      <c r="Y1521" s="18">
        <v>1</v>
      </c>
      <c r="Z1521" s="18">
        <v>0</v>
      </c>
      <c r="AA1521" s="18">
        <v>0</v>
      </c>
      <c r="AB1521" s="18">
        <v>1</v>
      </c>
      <c r="AC1521" s="18">
        <v>2</v>
      </c>
      <c r="AD1521" s="18">
        <v>0</v>
      </c>
      <c r="AE1521" s="18">
        <v>0</v>
      </c>
      <c r="AN1521" s="3">
        <f t="shared" si="43"/>
        <v>4</v>
      </c>
      <c r="AO1521" s="3">
        <v>9</v>
      </c>
      <c r="AP1521" s="3">
        <v>2</v>
      </c>
      <c r="AR1521" s="2" t="s">
        <v>2228</v>
      </c>
      <c r="AS1521" s="2" t="s">
        <v>326</v>
      </c>
      <c r="AT1521" s="2" t="s">
        <v>2326</v>
      </c>
      <c r="AU1521" s="28" t="s">
        <v>2327</v>
      </c>
    </row>
    <row r="1522" spans="1:45" ht="12.75">
      <c r="A1522" s="5">
        <v>44292</v>
      </c>
      <c r="B1522" s="2" t="s">
        <v>152</v>
      </c>
      <c r="C1522" s="2" t="s">
        <v>374</v>
      </c>
      <c r="E1522" s="18">
        <v>0</v>
      </c>
      <c r="F1522" s="18">
        <v>2</v>
      </c>
      <c r="G1522" s="18">
        <v>0</v>
      </c>
      <c r="H1522" s="18">
        <v>0</v>
      </c>
      <c r="I1522" s="18">
        <v>0</v>
      </c>
      <c r="J1522" s="18">
        <v>0</v>
      </c>
      <c r="K1522" s="18">
        <v>3</v>
      </c>
      <c r="T1522" s="3">
        <f t="shared" si="42"/>
        <v>5</v>
      </c>
      <c r="U1522" s="3">
        <v>6</v>
      </c>
      <c r="V1522" s="3">
        <v>2</v>
      </c>
      <c r="X1522" s="2" t="s">
        <v>2295</v>
      </c>
      <c r="Y1522" s="18">
        <v>3</v>
      </c>
      <c r="Z1522" s="18">
        <v>2</v>
      </c>
      <c r="AA1522" s="18">
        <v>2</v>
      </c>
      <c r="AB1522" s="18">
        <v>3</v>
      </c>
      <c r="AC1522" s="18">
        <v>0</v>
      </c>
      <c r="AD1522" s="18">
        <v>0</v>
      </c>
      <c r="AE1522" s="18" t="s">
        <v>162</v>
      </c>
      <c r="AN1522" s="3">
        <f t="shared" si="43"/>
        <v>10</v>
      </c>
      <c r="AO1522" s="3">
        <v>14</v>
      </c>
      <c r="AP1522" s="3">
        <v>1</v>
      </c>
      <c r="AR1522" s="2" t="s">
        <v>2230</v>
      </c>
      <c r="AS1522" s="2" t="s">
        <v>2330</v>
      </c>
    </row>
    <row r="1523" spans="1:44" ht="12.75">
      <c r="A1523" s="5">
        <v>44294</v>
      </c>
      <c r="B1523" s="2" t="s">
        <v>152</v>
      </c>
      <c r="C1523" s="2" t="s">
        <v>236</v>
      </c>
      <c r="E1523" s="18">
        <v>0</v>
      </c>
      <c r="F1523" s="18">
        <v>1</v>
      </c>
      <c r="G1523" s="18">
        <v>0</v>
      </c>
      <c r="H1523" s="18">
        <v>0</v>
      </c>
      <c r="I1523" s="18">
        <v>0</v>
      </c>
      <c r="T1523" s="3">
        <f t="shared" si="42"/>
        <v>1</v>
      </c>
      <c r="U1523" s="3">
        <v>5</v>
      </c>
      <c r="V1523" s="3">
        <v>8</v>
      </c>
      <c r="X1523" s="2" t="s">
        <v>2293</v>
      </c>
      <c r="Y1523" s="18">
        <v>0</v>
      </c>
      <c r="Z1523" s="18">
        <v>2</v>
      </c>
      <c r="AA1523" s="18">
        <v>6</v>
      </c>
      <c r="AB1523" s="18">
        <v>2</v>
      </c>
      <c r="AC1523" s="18">
        <v>1</v>
      </c>
      <c r="AN1523" s="3">
        <f t="shared" si="43"/>
        <v>11</v>
      </c>
      <c r="AO1523" s="3">
        <v>15</v>
      </c>
      <c r="AP1523" s="3">
        <v>3</v>
      </c>
      <c r="AR1523" s="2" t="s">
        <v>2294</v>
      </c>
    </row>
    <row r="1524" spans="1:44" ht="12.75">
      <c r="A1524" s="5">
        <v>44295</v>
      </c>
      <c r="C1524" s="2" t="s">
        <v>279</v>
      </c>
      <c r="E1524" s="18">
        <v>0</v>
      </c>
      <c r="F1524" s="18">
        <v>2</v>
      </c>
      <c r="G1524" s="18">
        <v>3</v>
      </c>
      <c r="H1524" s="18">
        <v>0</v>
      </c>
      <c r="I1524" s="18">
        <v>0</v>
      </c>
      <c r="J1524" s="18">
        <v>0</v>
      </c>
      <c r="K1524" s="18">
        <v>0</v>
      </c>
      <c r="T1524" s="3">
        <f t="shared" si="42"/>
        <v>5</v>
      </c>
      <c r="U1524" s="3">
        <v>10</v>
      </c>
      <c r="V1524" s="3">
        <v>2</v>
      </c>
      <c r="X1524" s="2" t="s">
        <v>2238</v>
      </c>
      <c r="Y1524" s="18">
        <v>0</v>
      </c>
      <c r="Z1524" s="18">
        <v>1</v>
      </c>
      <c r="AA1524" s="18">
        <v>1</v>
      </c>
      <c r="AB1524" s="18">
        <v>0</v>
      </c>
      <c r="AC1524" s="18">
        <v>2</v>
      </c>
      <c r="AD1524" s="18">
        <v>0</v>
      </c>
      <c r="AE1524" s="18">
        <v>1</v>
      </c>
      <c r="AN1524" s="3">
        <f t="shared" si="43"/>
        <v>5</v>
      </c>
      <c r="AO1524" s="3">
        <v>6</v>
      </c>
      <c r="AP1524" s="3">
        <v>3</v>
      </c>
      <c r="AR1524" s="2" t="s">
        <v>2246</v>
      </c>
    </row>
    <row r="1525" spans="1:44" ht="12.75">
      <c r="A1525" s="5">
        <v>44300</v>
      </c>
      <c r="C1525" s="2" t="s">
        <v>305</v>
      </c>
      <c r="E1525" s="18">
        <v>0</v>
      </c>
      <c r="F1525" s="18">
        <v>0</v>
      </c>
      <c r="G1525" s="18">
        <v>1</v>
      </c>
      <c r="H1525" s="18">
        <v>0</v>
      </c>
      <c r="I1525" s="18">
        <v>0</v>
      </c>
      <c r="J1525" s="18">
        <v>0</v>
      </c>
      <c r="K1525" s="18" t="s">
        <v>162</v>
      </c>
      <c r="T1525" s="3">
        <f t="shared" si="42"/>
        <v>1</v>
      </c>
      <c r="U1525" s="3">
        <v>4</v>
      </c>
      <c r="V1525" s="3">
        <v>2</v>
      </c>
      <c r="X1525" s="2" t="s">
        <v>2231</v>
      </c>
      <c r="Y1525" s="18">
        <v>0</v>
      </c>
      <c r="Z1525" s="18">
        <v>0</v>
      </c>
      <c r="AA1525" s="18">
        <v>0</v>
      </c>
      <c r="AB1525" s="18">
        <v>0</v>
      </c>
      <c r="AC1525" s="18">
        <v>0</v>
      </c>
      <c r="AD1525" s="18">
        <v>0</v>
      </c>
      <c r="AE1525" s="18">
        <v>0</v>
      </c>
      <c r="AN1525" s="3">
        <f t="shared" si="43"/>
        <v>0</v>
      </c>
      <c r="AO1525" s="3">
        <v>3</v>
      </c>
      <c r="AP1525" s="3">
        <v>0</v>
      </c>
      <c r="AR1525" s="2" t="s">
        <v>2292</v>
      </c>
    </row>
    <row r="1526" spans="1:44" ht="12.75">
      <c r="A1526" s="5">
        <v>44301</v>
      </c>
      <c r="B1526" s="2" t="s">
        <v>152</v>
      </c>
      <c r="C1526" s="2" t="s">
        <v>174</v>
      </c>
      <c r="E1526" s="18">
        <v>3</v>
      </c>
      <c r="F1526" s="18">
        <v>1</v>
      </c>
      <c r="G1526" s="18">
        <v>0</v>
      </c>
      <c r="H1526" s="18">
        <v>3</v>
      </c>
      <c r="I1526" s="18">
        <v>2</v>
      </c>
      <c r="J1526" s="18">
        <v>0</v>
      </c>
      <c r="K1526" s="18">
        <v>0</v>
      </c>
      <c r="T1526" s="3">
        <f t="shared" si="42"/>
        <v>9</v>
      </c>
      <c r="U1526" s="3">
        <v>14</v>
      </c>
      <c r="V1526" s="3">
        <v>3</v>
      </c>
      <c r="X1526" s="2" t="s">
        <v>2290</v>
      </c>
      <c r="Y1526" s="18">
        <v>1</v>
      </c>
      <c r="Z1526" s="18">
        <v>5</v>
      </c>
      <c r="AA1526" s="18">
        <v>0</v>
      </c>
      <c r="AB1526" s="18">
        <v>2</v>
      </c>
      <c r="AC1526" s="18">
        <v>0</v>
      </c>
      <c r="AD1526" s="18">
        <v>1</v>
      </c>
      <c r="AE1526" s="18">
        <v>1</v>
      </c>
      <c r="AN1526" s="3">
        <f t="shared" si="43"/>
        <v>10</v>
      </c>
      <c r="AO1526" s="3">
        <v>11</v>
      </c>
      <c r="AP1526" s="3">
        <v>1</v>
      </c>
      <c r="AR1526" s="2" t="s">
        <v>2291</v>
      </c>
    </row>
    <row r="1527" spans="1:44" ht="12.75">
      <c r="A1527" s="5">
        <v>44305</v>
      </c>
      <c r="B1527" s="2" t="s">
        <v>152</v>
      </c>
      <c r="C1527" s="2" t="s">
        <v>169</v>
      </c>
      <c r="E1527" s="18">
        <v>0</v>
      </c>
      <c r="F1527" s="18">
        <v>0</v>
      </c>
      <c r="G1527" s="18">
        <v>0</v>
      </c>
      <c r="H1527" s="18">
        <v>7</v>
      </c>
      <c r="I1527" s="18">
        <v>2</v>
      </c>
      <c r="J1527" s="18">
        <v>0</v>
      </c>
      <c r="K1527" s="18">
        <v>0</v>
      </c>
      <c r="T1527" s="3">
        <f t="shared" si="42"/>
        <v>9</v>
      </c>
      <c r="U1527" s="3">
        <v>4</v>
      </c>
      <c r="V1527" s="3">
        <v>2</v>
      </c>
      <c r="X1527" s="2" t="s">
        <v>2238</v>
      </c>
      <c r="Y1527" s="18">
        <v>0</v>
      </c>
      <c r="Z1527" s="18">
        <v>0</v>
      </c>
      <c r="AA1527" s="18">
        <v>1</v>
      </c>
      <c r="AB1527" s="18">
        <v>1</v>
      </c>
      <c r="AC1527" s="18">
        <v>0</v>
      </c>
      <c r="AD1527" s="18">
        <v>0</v>
      </c>
      <c r="AE1527" s="18">
        <v>0</v>
      </c>
      <c r="AN1527" s="3">
        <f t="shared" si="43"/>
        <v>2</v>
      </c>
      <c r="AO1527" s="3">
        <v>5</v>
      </c>
      <c r="AP1527" s="3">
        <v>2</v>
      </c>
      <c r="AR1527" s="2" t="s">
        <v>2289</v>
      </c>
    </row>
    <row r="1528" spans="1:44" ht="12.75">
      <c r="A1528" s="5">
        <v>44306</v>
      </c>
      <c r="C1528" s="2" t="s">
        <v>379</v>
      </c>
      <c r="E1528" s="18">
        <v>0</v>
      </c>
      <c r="F1528" s="18">
        <v>0</v>
      </c>
      <c r="G1528" s="18">
        <v>0</v>
      </c>
      <c r="H1528" s="18">
        <v>1</v>
      </c>
      <c r="I1528" s="18">
        <v>0</v>
      </c>
      <c r="J1528" s="18">
        <v>3</v>
      </c>
      <c r="K1528" s="18">
        <v>1</v>
      </c>
      <c r="T1528" s="3">
        <f t="shared" si="42"/>
        <v>5</v>
      </c>
      <c r="U1528" s="3">
        <v>7</v>
      </c>
      <c r="V1528" s="3">
        <v>7</v>
      </c>
      <c r="X1528" s="2" t="s">
        <v>2263</v>
      </c>
      <c r="Y1528" s="18">
        <v>2</v>
      </c>
      <c r="Z1528" s="18">
        <v>0</v>
      </c>
      <c r="AA1528" s="18">
        <v>2</v>
      </c>
      <c r="AB1528" s="18">
        <v>1</v>
      </c>
      <c r="AC1528" s="18">
        <v>4</v>
      </c>
      <c r="AD1528" s="18">
        <v>1</v>
      </c>
      <c r="AE1528" s="18">
        <v>0</v>
      </c>
      <c r="AN1528" s="3">
        <f t="shared" si="43"/>
        <v>10</v>
      </c>
      <c r="AO1528" s="3">
        <v>12</v>
      </c>
      <c r="AP1528" s="3">
        <v>1</v>
      </c>
      <c r="AR1528" s="2" t="s">
        <v>2286</v>
      </c>
    </row>
    <row r="1529" spans="1:44" ht="12.75">
      <c r="A1529" s="5">
        <v>44309</v>
      </c>
      <c r="C1529" s="2" t="s">
        <v>236</v>
      </c>
      <c r="E1529" s="18">
        <v>0</v>
      </c>
      <c r="F1529" s="18">
        <v>0</v>
      </c>
      <c r="G1529" s="18">
        <v>3</v>
      </c>
      <c r="H1529" s="18">
        <v>0</v>
      </c>
      <c r="I1529" s="18">
        <v>2</v>
      </c>
      <c r="J1529" s="18">
        <v>0</v>
      </c>
      <c r="K1529" s="18" t="s">
        <v>162</v>
      </c>
      <c r="T1529" s="3">
        <f t="shared" si="42"/>
        <v>5</v>
      </c>
      <c r="U1529" s="3">
        <v>8</v>
      </c>
      <c r="V1529" s="3">
        <v>0</v>
      </c>
      <c r="X1529" s="2" t="s">
        <v>2231</v>
      </c>
      <c r="Y1529" s="18">
        <v>2</v>
      </c>
      <c r="Z1529" s="18">
        <v>0</v>
      </c>
      <c r="AA1529" s="18">
        <v>0</v>
      </c>
      <c r="AB1529" s="18">
        <v>0</v>
      </c>
      <c r="AC1529" s="18">
        <v>1</v>
      </c>
      <c r="AD1529" s="18">
        <v>0</v>
      </c>
      <c r="AE1529" s="18">
        <v>0</v>
      </c>
      <c r="AN1529" s="3">
        <f t="shared" si="43"/>
        <v>3</v>
      </c>
      <c r="AO1529" s="3">
        <v>10</v>
      </c>
      <c r="AP1529" s="3">
        <v>1</v>
      </c>
      <c r="AR1529" s="2" t="s">
        <v>2288</v>
      </c>
    </row>
    <row r="1530" spans="1:44" ht="12.75">
      <c r="A1530" s="5">
        <v>44312</v>
      </c>
      <c r="C1530" s="2" t="s">
        <v>374</v>
      </c>
      <c r="E1530" s="18">
        <v>0</v>
      </c>
      <c r="F1530" s="18">
        <v>1</v>
      </c>
      <c r="G1530" s="18">
        <v>0</v>
      </c>
      <c r="H1530" s="18">
        <v>0</v>
      </c>
      <c r="I1530" s="18">
        <v>1</v>
      </c>
      <c r="J1530" s="18">
        <v>1</v>
      </c>
      <c r="K1530" s="18">
        <v>0</v>
      </c>
      <c r="T1530" s="3">
        <f t="shared" si="42"/>
        <v>3</v>
      </c>
      <c r="U1530" s="3">
        <v>7</v>
      </c>
      <c r="V1530" s="3">
        <v>6</v>
      </c>
      <c r="X1530" s="2" t="s">
        <v>2244</v>
      </c>
      <c r="Y1530" s="18">
        <v>2</v>
      </c>
      <c r="Z1530" s="18">
        <v>1</v>
      </c>
      <c r="AA1530" s="18">
        <v>3</v>
      </c>
      <c r="AB1530" s="18">
        <v>1</v>
      </c>
      <c r="AC1530" s="18">
        <v>0</v>
      </c>
      <c r="AD1530" s="18">
        <v>1</v>
      </c>
      <c r="AE1530" s="18">
        <v>0</v>
      </c>
      <c r="AN1530" s="3">
        <f t="shared" si="43"/>
        <v>8</v>
      </c>
      <c r="AO1530" s="3">
        <v>12</v>
      </c>
      <c r="AP1530" s="3">
        <v>0</v>
      </c>
      <c r="AR1530" s="2" t="s">
        <v>2287</v>
      </c>
    </row>
    <row r="1531" spans="1:44" ht="12.75">
      <c r="A1531" s="5">
        <v>44313</v>
      </c>
      <c r="C1531" s="2" t="s">
        <v>297</v>
      </c>
      <c r="E1531" s="18">
        <v>3</v>
      </c>
      <c r="F1531" s="18">
        <v>0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T1531" s="3">
        <f t="shared" si="42"/>
        <v>3</v>
      </c>
      <c r="U1531" s="3">
        <v>6</v>
      </c>
      <c r="V1531" s="3">
        <v>5</v>
      </c>
      <c r="X1531" s="2" t="s">
        <v>2263</v>
      </c>
      <c r="Y1531" s="18">
        <v>2</v>
      </c>
      <c r="Z1531" s="18">
        <v>3</v>
      </c>
      <c r="AA1531" s="18">
        <v>1</v>
      </c>
      <c r="AB1531" s="18">
        <v>1</v>
      </c>
      <c r="AC1531" s="18">
        <v>2</v>
      </c>
      <c r="AD1531" s="18">
        <v>3</v>
      </c>
      <c r="AE1531" s="18">
        <v>2</v>
      </c>
      <c r="AN1531" s="3">
        <f t="shared" si="43"/>
        <v>14</v>
      </c>
      <c r="AO1531" s="3">
        <v>17</v>
      </c>
      <c r="AP1531" s="3">
        <v>0</v>
      </c>
      <c r="AR1531" s="2" t="s">
        <v>2264</v>
      </c>
    </row>
    <row r="1532" spans="1:44" ht="12.75">
      <c r="A1532" s="5">
        <v>44320</v>
      </c>
      <c r="B1532" s="2" t="s">
        <v>152</v>
      </c>
      <c r="C1532" s="2" t="s">
        <v>297</v>
      </c>
      <c r="E1532" s="18">
        <v>0</v>
      </c>
      <c r="F1532" s="18">
        <v>0</v>
      </c>
      <c r="G1532" s="18">
        <v>0</v>
      </c>
      <c r="H1532" s="18">
        <v>0</v>
      </c>
      <c r="I1532" s="18">
        <v>0</v>
      </c>
      <c r="J1532" s="18">
        <v>0</v>
      </c>
      <c r="K1532" s="18">
        <v>0</v>
      </c>
      <c r="T1532" s="3">
        <f t="shared" si="42"/>
        <v>0</v>
      </c>
      <c r="U1532" s="3">
        <v>0</v>
      </c>
      <c r="V1532" s="3">
        <v>3</v>
      </c>
      <c r="X1532" s="2" t="s">
        <v>2226</v>
      </c>
      <c r="Y1532" s="18">
        <v>3</v>
      </c>
      <c r="Z1532" s="18">
        <v>0</v>
      </c>
      <c r="AA1532" s="18">
        <v>1</v>
      </c>
      <c r="AB1532" s="18">
        <v>2</v>
      </c>
      <c r="AC1532" s="18">
        <v>0</v>
      </c>
      <c r="AD1532" s="18">
        <v>1</v>
      </c>
      <c r="AN1532" s="3">
        <f t="shared" si="43"/>
        <v>7</v>
      </c>
      <c r="AO1532" s="3">
        <v>9</v>
      </c>
      <c r="AP1532" s="3">
        <v>0</v>
      </c>
      <c r="AR1532" s="2" t="s">
        <v>2262</v>
      </c>
    </row>
    <row r="1533" spans="1:44" ht="12.75">
      <c r="A1533" s="5">
        <v>44327</v>
      </c>
      <c r="B1533" s="2" t="s">
        <v>152</v>
      </c>
      <c r="C1533" s="2" t="s">
        <v>192</v>
      </c>
      <c r="E1533" s="18">
        <v>1</v>
      </c>
      <c r="F1533" s="18">
        <v>0</v>
      </c>
      <c r="G1533" s="18">
        <v>3</v>
      </c>
      <c r="H1533" s="18">
        <v>0</v>
      </c>
      <c r="I1533" s="18">
        <v>6</v>
      </c>
      <c r="J1533" s="18">
        <v>2</v>
      </c>
      <c r="K1533" s="18">
        <v>3</v>
      </c>
      <c r="T1533" s="3">
        <f t="shared" si="42"/>
        <v>15</v>
      </c>
      <c r="U1533" s="3">
        <v>11</v>
      </c>
      <c r="V1533" s="3">
        <v>4</v>
      </c>
      <c r="X1533" s="2" t="s">
        <v>2231</v>
      </c>
      <c r="Y1533" s="18">
        <v>0</v>
      </c>
      <c r="Z1533" s="18">
        <v>1</v>
      </c>
      <c r="AA1533" s="18">
        <v>2</v>
      </c>
      <c r="AB1533" s="18">
        <v>0</v>
      </c>
      <c r="AC1533" s="18">
        <v>0</v>
      </c>
      <c r="AD1533" s="18">
        <v>1</v>
      </c>
      <c r="AN1533" s="3">
        <f t="shared" si="43"/>
        <v>4</v>
      </c>
      <c r="AO1533" s="3">
        <v>7</v>
      </c>
      <c r="AP1533" s="3">
        <v>4</v>
      </c>
      <c r="AR1533" s="2" t="s">
        <v>2261</v>
      </c>
    </row>
    <row r="1534" spans="1:44" ht="12.75">
      <c r="A1534" s="5">
        <v>44328</v>
      </c>
      <c r="B1534" s="2" t="s">
        <v>152</v>
      </c>
      <c r="C1534" s="2" t="s">
        <v>305</v>
      </c>
      <c r="E1534" s="18">
        <v>0</v>
      </c>
      <c r="F1534" s="18">
        <v>0</v>
      </c>
      <c r="G1534" s="18">
        <v>0</v>
      </c>
      <c r="H1534" s="18">
        <v>0</v>
      </c>
      <c r="I1534" s="18">
        <v>0</v>
      </c>
      <c r="J1534" s="18">
        <v>1</v>
      </c>
      <c r="K1534" s="18">
        <v>3</v>
      </c>
      <c r="T1534" s="3">
        <f t="shared" si="42"/>
        <v>4</v>
      </c>
      <c r="U1534" s="3">
        <v>7</v>
      </c>
      <c r="V1534" s="3">
        <v>0</v>
      </c>
      <c r="X1534" s="2" t="s">
        <v>2259</v>
      </c>
      <c r="Y1534" s="18">
        <v>3</v>
      </c>
      <c r="Z1534" s="18">
        <v>0</v>
      </c>
      <c r="AA1534" s="18">
        <v>0</v>
      </c>
      <c r="AB1534" s="18">
        <v>1</v>
      </c>
      <c r="AC1534" s="18">
        <v>2</v>
      </c>
      <c r="AD1534" s="18">
        <v>0</v>
      </c>
      <c r="AE1534" s="18" t="s">
        <v>162</v>
      </c>
      <c r="AN1534" s="3">
        <f t="shared" si="43"/>
        <v>6</v>
      </c>
      <c r="AO1534" s="3">
        <v>6</v>
      </c>
      <c r="AP1534" s="3">
        <v>4</v>
      </c>
      <c r="AR1534" s="2" t="s">
        <v>2260</v>
      </c>
    </row>
    <row r="1535" spans="1:44" ht="12.75">
      <c r="A1535" s="5">
        <v>44329</v>
      </c>
      <c r="B1535" s="2" t="s">
        <v>152</v>
      </c>
      <c r="C1535" s="2" t="s">
        <v>379</v>
      </c>
      <c r="E1535" s="18">
        <v>0</v>
      </c>
      <c r="F1535" s="18">
        <v>0</v>
      </c>
      <c r="G1535" s="18">
        <v>0</v>
      </c>
      <c r="H1535" s="18">
        <v>0</v>
      </c>
      <c r="I1535" s="18">
        <v>3</v>
      </c>
      <c r="J1535" s="18">
        <v>1</v>
      </c>
      <c r="K1535" s="18">
        <v>0</v>
      </c>
      <c r="T1535" s="3">
        <f t="shared" si="42"/>
        <v>4</v>
      </c>
      <c r="U1535" s="3">
        <v>5</v>
      </c>
      <c r="V1535" s="3">
        <v>1</v>
      </c>
      <c r="X1535" s="2" t="s">
        <v>2257</v>
      </c>
      <c r="Y1535" s="18">
        <v>0</v>
      </c>
      <c r="Z1535" s="18">
        <v>0</v>
      </c>
      <c r="AA1535" s="18">
        <v>0</v>
      </c>
      <c r="AB1535" s="18">
        <v>0</v>
      </c>
      <c r="AC1535" s="18">
        <v>0</v>
      </c>
      <c r="AD1535" s="18">
        <v>0</v>
      </c>
      <c r="AE1535" s="18">
        <v>0</v>
      </c>
      <c r="AN1535" s="3">
        <f t="shared" si="43"/>
        <v>0</v>
      </c>
      <c r="AO1535" s="3">
        <v>4</v>
      </c>
      <c r="AP1535" s="3">
        <v>1</v>
      </c>
      <c r="AR1535" s="2" t="s">
        <v>2258</v>
      </c>
    </row>
    <row r="1536" spans="1:44" ht="12.75">
      <c r="A1536" s="5">
        <v>44333</v>
      </c>
      <c r="C1536" s="2" t="s">
        <v>943</v>
      </c>
      <c r="E1536" s="18">
        <v>1</v>
      </c>
      <c r="F1536" s="18">
        <v>0</v>
      </c>
      <c r="G1536" s="18">
        <v>1</v>
      </c>
      <c r="H1536" s="18">
        <v>0</v>
      </c>
      <c r="I1536" s="18">
        <v>0</v>
      </c>
      <c r="T1536" s="3">
        <f t="shared" si="42"/>
        <v>2</v>
      </c>
      <c r="U1536" s="3">
        <v>4</v>
      </c>
      <c r="V1536" s="3">
        <v>1</v>
      </c>
      <c r="X1536" s="2" t="s">
        <v>2244</v>
      </c>
      <c r="Y1536" s="18">
        <v>1</v>
      </c>
      <c r="Z1536" s="18">
        <v>3</v>
      </c>
      <c r="AA1536" s="18">
        <v>11</v>
      </c>
      <c r="AB1536" s="18">
        <v>1</v>
      </c>
      <c r="AC1536" s="18">
        <v>0</v>
      </c>
      <c r="AN1536" s="3">
        <f t="shared" si="43"/>
        <v>16</v>
      </c>
      <c r="AO1536" s="3">
        <v>13</v>
      </c>
      <c r="AP1536" s="3">
        <v>1</v>
      </c>
      <c r="AR1536" s="2" t="s">
        <v>2245</v>
      </c>
    </row>
    <row r="1537" spans="1:44" ht="12.75">
      <c r="A1537" s="5">
        <v>44334</v>
      </c>
      <c r="C1537" s="2" t="s">
        <v>191</v>
      </c>
      <c r="E1537" s="18">
        <v>0</v>
      </c>
      <c r="F1537" s="18">
        <v>6</v>
      </c>
      <c r="G1537" s="18">
        <v>2</v>
      </c>
      <c r="H1537" s="18">
        <v>1</v>
      </c>
      <c r="I1537" s="18">
        <v>1</v>
      </c>
      <c r="J1537" s="18">
        <v>1</v>
      </c>
      <c r="K1537" s="18">
        <v>0</v>
      </c>
      <c r="T1537" s="3">
        <f t="shared" si="42"/>
        <v>11</v>
      </c>
      <c r="U1537" s="3">
        <v>12</v>
      </c>
      <c r="V1537" s="3">
        <v>4</v>
      </c>
      <c r="X1537" s="2" t="s">
        <v>2256</v>
      </c>
      <c r="Y1537" s="18">
        <v>3</v>
      </c>
      <c r="Z1537" s="18">
        <v>1</v>
      </c>
      <c r="AA1537" s="18">
        <v>5</v>
      </c>
      <c r="AB1537" s="18">
        <v>0</v>
      </c>
      <c r="AC1537" s="18">
        <v>0</v>
      </c>
      <c r="AD1537" s="18">
        <v>0</v>
      </c>
      <c r="AE1537" s="18">
        <v>6</v>
      </c>
      <c r="AN1537" s="3">
        <f t="shared" si="43"/>
        <v>15</v>
      </c>
      <c r="AO1537" s="3">
        <v>10</v>
      </c>
      <c r="AP1537" s="3">
        <v>4</v>
      </c>
      <c r="AR1537" s="2" t="s">
        <v>2255</v>
      </c>
    </row>
    <row r="1538" spans="1:44" ht="12.75">
      <c r="A1538" s="5">
        <v>44336</v>
      </c>
      <c r="C1538" s="2" t="s">
        <v>174</v>
      </c>
      <c r="E1538" s="18">
        <v>0</v>
      </c>
      <c r="F1538" s="18">
        <v>0</v>
      </c>
      <c r="G1538" s="18">
        <v>4</v>
      </c>
      <c r="H1538" s="18">
        <v>1</v>
      </c>
      <c r="I1538" s="18">
        <v>0</v>
      </c>
      <c r="J1538" s="18">
        <v>0</v>
      </c>
      <c r="K1538" s="18" t="s">
        <v>162</v>
      </c>
      <c r="T1538" s="3">
        <f>SUM(E1538:S1538)</f>
        <v>5</v>
      </c>
      <c r="U1538" s="3">
        <v>7</v>
      </c>
      <c r="V1538" s="3">
        <v>2</v>
      </c>
      <c r="X1538" s="2" t="s">
        <v>2242</v>
      </c>
      <c r="Y1538" s="18">
        <v>1</v>
      </c>
      <c r="Z1538" s="18">
        <v>0</v>
      </c>
      <c r="AA1538" s="18">
        <v>0</v>
      </c>
      <c r="AB1538" s="18">
        <v>0</v>
      </c>
      <c r="AC1538" s="18">
        <v>0</v>
      </c>
      <c r="AD1538" s="18">
        <v>0</v>
      </c>
      <c r="AE1538" s="18">
        <v>1</v>
      </c>
      <c r="AN1538" s="3">
        <f>SUM(Y1538:AM1538)</f>
        <v>2</v>
      </c>
      <c r="AO1538" s="3">
        <v>10</v>
      </c>
      <c r="AP1538" s="3">
        <v>3</v>
      </c>
      <c r="AR1538" s="2" t="s">
        <v>2243</v>
      </c>
    </row>
    <row r="1539" spans="1:44" ht="12.75">
      <c r="A1539" s="5">
        <v>44342</v>
      </c>
      <c r="B1539" s="2" t="s">
        <v>239</v>
      </c>
      <c r="C1539" s="2" t="s">
        <v>367</v>
      </c>
      <c r="D1539" s="2" t="s">
        <v>258</v>
      </c>
      <c r="E1539" s="18">
        <v>0</v>
      </c>
      <c r="F1539" s="18">
        <v>1</v>
      </c>
      <c r="G1539" s="18">
        <v>1</v>
      </c>
      <c r="H1539" s="18">
        <v>0</v>
      </c>
      <c r="I1539" s="18">
        <v>0</v>
      </c>
      <c r="J1539" s="18">
        <v>0</v>
      </c>
      <c r="K1539" s="18" t="s">
        <v>162</v>
      </c>
      <c r="T1539" s="3">
        <f>SUM(E1539:S1539)</f>
        <v>2</v>
      </c>
      <c r="U1539" s="3">
        <v>6</v>
      </c>
      <c r="V1539" s="3">
        <v>2</v>
      </c>
      <c r="X1539" s="2" t="s">
        <v>2238</v>
      </c>
      <c r="Y1539" s="18">
        <v>0</v>
      </c>
      <c r="Z1539" s="18">
        <v>0</v>
      </c>
      <c r="AA1539" s="18">
        <v>0</v>
      </c>
      <c r="AB1539" s="18">
        <v>1</v>
      </c>
      <c r="AC1539" s="18">
        <v>0</v>
      </c>
      <c r="AD1539" s="18">
        <v>0</v>
      </c>
      <c r="AE1539" s="18">
        <v>0</v>
      </c>
      <c r="AN1539" s="3">
        <f>SUM(Y1539:AM1539)</f>
        <v>1</v>
      </c>
      <c r="AO1539" s="3">
        <v>4</v>
      </c>
      <c r="AP1539" s="3">
        <v>0</v>
      </c>
      <c r="AR1539" s="2" t="s">
        <v>2241</v>
      </c>
    </row>
    <row r="1540" spans="1:44" ht="12.75">
      <c r="A1540" s="5">
        <v>44349</v>
      </c>
      <c r="B1540" s="2" t="s">
        <v>152</v>
      </c>
      <c r="C1540" s="2" t="s">
        <v>135</v>
      </c>
      <c r="D1540" s="2" t="s">
        <v>260</v>
      </c>
      <c r="E1540" s="18">
        <v>0</v>
      </c>
      <c r="F1540" s="18">
        <v>1</v>
      </c>
      <c r="G1540" s="18">
        <v>0</v>
      </c>
      <c r="H1540" s="18">
        <v>0</v>
      </c>
      <c r="I1540" s="18">
        <v>4</v>
      </c>
      <c r="J1540" s="18">
        <v>0</v>
      </c>
      <c r="K1540" s="18">
        <v>2</v>
      </c>
      <c r="T1540" s="3">
        <f>SUM(E1540:S1540)</f>
        <v>7</v>
      </c>
      <c r="U1540" s="3">
        <v>9</v>
      </c>
      <c r="V1540" s="3">
        <v>1</v>
      </c>
      <c r="X1540" s="2" t="s">
        <v>2238</v>
      </c>
      <c r="Y1540" s="18">
        <v>3</v>
      </c>
      <c r="Z1540" s="18">
        <v>0</v>
      </c>
      <c r="AA1540" s="18">
        <v>1</v>
      </c>
      <c r="AB1540" s="18">
        <v>0</v>
      </c>
      <c r="AC1540" s="18">
        <v>0</v>
      </c>
      <c r="AD1540" s="18">
        <v>0</v>
      </c>
      <c r="AE1540" s="18">
        <v>0</v>
      </c>
      <c r="AN1540" s="3">
        <f>SUM(Y1540:AM1540)</f>
        <v>4</v>
      </c>
      <c r="AO1540" s="3">
        <v>6</v>
      </c>
      <c r="AP1540" s="3">
        <v>1</v>
      </c>
      <c r="AR1540" s="2" t="s">
        <v>2239</v>
      </c>
    </row>
    <row r="1541" spans="1:44" ht="12.75">
      <c r="A1541" s="5">
        <v>44354</v>
      </c>
      <c r="B1541" s="2" t="s">
        <v>239</v>
      </c>
      <c r="C1541" s="2" t="s">
        <v>2225</v>
      </c>
      <c r="D1541" s="2" t="s">
        <v>260</v>
      </c>
      <c r="E1541" s="18">
        <v>0</v>
      </c>
      <c r="F1541" s="18">
        <v>0</v>
      </c>
      <c r="G1541" s="18">
        <v>0</v>
      </c>
      <c r="H1541" s="18">
        <v>0</v>
      </c>
      <c r="I1541" s="18">
        <v>1</v>
      </c>
      <c r="J1541" s="18">
        <v>0</v>
      </c>
      <c r="K1541" s="18">
        <v>0</v>
      </c>
      <c r="T1541" s="3">
        <f>SUM(E1541:S1541)</f>
        <v>1</v>
      </c>
      <c r="U1541" s="3">
        <v>4</v>
      </c>
      <c r="V1541" s="3">
        <v>0</v>
      </c>
      <c r="X1541" s="2" t="s">
        <v>2238</v>
      </c>
      <c r="Y1541" s="18">
        <v>4</v>
      </c>
      <c r="Z1541" s="18">
        <v>0</v>
      </c>
      <c r="AA1541" s="18">
        <v>0</v>
      </c>
      <c r="AB1541" s="18">
        <v>0</v>
      </c>
      <c r="AC1541" s="18">
        <v>1</v>
      </c>
      <c r="AD1541" s="18">
        <v>0</v>
      </c>
      <c r="AE1541" s="18">
        <v>1</v>
      </c>
      <c r="AN1541" s="3">
        <f>SUM(Y1541:AM1541)</f>
        <v>6</v>
      </c>
      <c r="AO1541" s="3">
        <v>10</v>
      </c>
      <c r="AP1541" s="3">
        <v>1</v>
      </c>
      <c r="AR1541" s="2" t="s">
        <v>2240</v>
      </c>
    </row>
    <row r="1543" spans="1:45" ht="12.75">
      <c r="A1543" s="5">
        <v>44653</v>
      </c>
      <c r="B1543" s="2" t="s">
        <v>152</v>
      </c>
      <c r="C1543" s="2" t="s">
        <v>290</v>
      </c>
      <c r="E1543" s="18">
        <v>0</v>
      </c>
      <c r="F1543" s="18">
        <v>0</v>
      </c>
      <c r="G1543" s="18">
        <v>0</v>
      </c>
      <c r="H1543" s="18">
        <v>0</v>
      </c>
      <c r="I1543" s="18">
        <v>0</v>
      </c>
      <c r="J1543" s="18">
        <v>0</v>
      </c>
      <c r="K1543" s="18">
        <v>0</v>
      </c>
      <c r="T1543" s="3">
        <v>0</v>
      </c>
      <c r="U1543" s="3">
        <v>3</v>
      </c>
      <c r="V1543" s="3">
        <v>0</v>
      </c>
      <c r="X1543" s="2" t="s">
        <v>2295</v>
      </c>
      <c r="Y1543" s="18">
        <v>3</v>
      </c>
      <c r="Z1543" s="18">
        <v>0</v>
      </c>
      <c r="AA1543" s="18">
        <v>1</v>
      </c>
      <c r="AB1543" s="18">
        <v>0</v>
      </c>
      <c r="AC1543" s="18">
        <v>0</v>
      </c>
      <c r="AD1543" s="18">
        <v>0</v>
      </c>
      <c r="AE1543" s="18" t="s">
        <v>162</v>
      </c>
      <c r="AN1543" s="3">
        <v>4</v>
      </c>
      <c r="AO1543" s="3">
        <v>6</v>
      </c>
      <c r="AP1543" s="3">
        <v>2</v>
      </c>
      <c r="AR1543" s="2" t="s">
        <v>2336</v>
      </c>
      <c r="AS1543" s="2" t="s">
        <v>1848</v>
      </c>
    </row>
    <row r="1544" spans="1:47" ht="12.75">
      <c r="A1544" s="5">
        <v>44655</v>
      </c>
      <c r="C1544" s="2" t="s">
        <v>192</v>
      </c>
      <c r="E1544" s="18">
        <v>2</v>
      </c>
      <c r="F1544" s="18">
        <v>6</v>
      </c>
      <c r="G1544" s="18">
        <v>5</v>
      </c>
      <c r="H1544" s="18">
        <v>0</v>
      </c>
      <c r="I1544" s="18">
        <v>0</v>
      </c>
      <c r="J1544" s="18">
        <v>0</v>
      </c>
      <c r="K1544" s="18">
        <v>0</v>
      </c>
      <c r="T1544" s="3">
        <v>13</v>
      </c>
      <c r="U1544" s="3">
        <v>5</v>
      </c>
      <c r="V1544" s="3">
        <v>4</v>
      </c>
      <c r="X1544" s="2" t="s">
        <v>2337</v>
      </c>
      <c r="Y1544" s="18">
        <v>1</v>
      </c>
      <c r="Z1544" s="18">
        <v>7</v>
      </c>
      <c r="AA1544" s="18">
        <v>0</v>
      </c>
      <c r="AB1544" s="18">
        <v>0</v>
      </c>
      <c r="AC1544" s="18">
        <v>1</v>
      </c>
      <c r="AD1544" s="18">
        <v>0</v>
      </c>
      <c r="AE1544" s="18">
        <v>0</v>
      </c>
      <c r="AN1544" s="3">
        <v>9</v>
      </c>
      <c r="AO1544" s="3">
        <v>10</v>
      </c>
      <c r="AP1544" s="3">
        <v>0</v>
      </c>
      <c r="AR1544" s="2" t="s">
        <v>2338</v>
      </c>
      <c r="AS1544" s="2" t="s">
        <v>244</v>
      </c>
      <c r="AT1544" s="2">
        <v>12</v>
      </c>
      <c r="AU1544" s="28"/>
    </row>
    <row r="1545" spans="1:45" ht="12.75">
      <c r="A1545" s="5">
        <v>44656</v>
      </c>
      <c r="C1545" s="2" t="s">
        <v>374</v>
      </c>
      <c r="E1545" s="18">
        <v>1</v>
      </c>
      <c r="F1545" s="18">
        <v>0</v>
      </c>
      <c r="G1545" s="18">
        <v>0</v>
      </c>
      <c r="H1545" s="18">
        <v>2</v>
      </c>
      <c r="I1545" s="18">
        <v>1</v>
      </c>
      <c r="J1545" s="18">
        <v>0</v>
      </c>
      <c r="K1545" s="18" t="s">
        <v>162</v>
      </c>
      <c r="T1545" s="3">
        <v>4</v>
      </c>
      <c r="U1545" s="3">
        <v>6</v>
      </c>
      <c r="V1545" s="3">
        <v>1</v>
      </c>
      <c r="X1545" s="2" t="s">
        <v>2339</v>
      </c>
      <c r="Y1545" s="18">
        <v>0</v>
      </c>
      <c r="Z1545" s="18">
        <v>0</v>
      </c>
      <c r="AA1545" s="18">
        <v>0</v>
      </c>
      <c r="AB1545" s="18">
        <v>0</v>
      </c>
      <c r="AC1545" s="18">
        <v>1</v>
      </c>
      <c r="AD1545" s="18">
        <v>0</v>
      </c>
      <c r="AE1545" s="18">
        <v>1</v>
      </c>
      <c r="AN1545" s="3">
        <v>2</v>
      </c>
      <c r="AO1545" s="3">
        <v>7</v>
      </c>
      <c r="AP1545" s="3">
        <v>2</v>
      </c>
      <c r="AR1545" s="2" t="s">
        <v>2340</v>
      </c>
      <c r="AS1545" s="2" t="s">
        <v>2330</v>
      </c>
    </row>
    <row r="1546" spans="1:44" ht="12.75">
      <c r="A1546" s="5">
        <v>44664</v>
      </c>
      <c r="C1546" s="2" t="s">
        <v>367</v>
      </c>
      <c r="E1546" s="18">
        <v>1</v>
      </c>
      <c r="F1546" s="18">
        <v>0</v>
      </c>
      <c r="G1546" s="18">
        <v>1</v>
      </c>
      <c r="H1546" s="18">
        <v>2</v>
      </c>
      <c r="I1546" s="18">
        <v>2</v>
      </c>
      <c r="J1546" s="18">
        <v>3</v>
      </c>
      <c r="K1546" s="18" t="s">
        <v>162</v>
      </c>
      <c r="T1546" s="3">
        <v>9</v>
      </c>
      <c r="U1546" s="3">
        <v>9</v>
      </c>
      <c r="V1546" s="3">
        <v>0</v>
      </c>
      <c r="X1546" s="2" t="s">
        <v>2341</v>
      </c>
      <c r="Y1546" s="18">
        <v>0</v>
      </c>
      <c r="Z1546" s="18">
        <v>0</v>
      </c>
      <c r="AA1546" s="18">
        <v>0</v>
      </c>
      <c r="AB1546" s="18">
        <v>0</v>
      </c>
      <c r="AC1546" s="18">
        <v>1</v>
      </c>
      <c r="AD1546" s="18">
        <v>1</v>
      </c>
      <c r="AE1546" s="18">
        <v>1</v>
      </c>
      <c r="AN1546" s="3">
        <v>3</v>
      </c>
      <c r="AO1546" s="3">
        <v>4</v>
      </c>
      <c r="AP1546" s="3">
        <v>2</v>
      </c>
      <c r="AR1546" s="28" t="s">
        <v>2342</v>
      </c>
    </row>
    <row r="1547" spans="1:44" ht="12.75">
      <c r="A1547" s="5">
        <v>44665</v>
      </c>
      <c r="C1547" s="2" t="s">
        <v>174</v>
      </c>
      <c r="E1547" s="18">
        <v>3</v>
      </c>
      <c r="F1547" s="18">
        <v>0</v>
      </c>
      <c r="G1547" s="18">
        <v>0</v>
      </c>
      <c r="H1547" s="18">
        <v>0</v>
      </c>
      <c r="I1547" s="18">
        <v>0</v>
      </c>
      <c r="J1547" s="18">
        <v>1</v>
      </c>
      <c r="K1547" s="18">
        <v>1</v>
      </c>
      <c r="T1547" s="3">
        <v>5</v>
      </c>
      <c r="U1547" s="3">
        <v>9</v>
      </c>
      <c r="V1547" s="3">
        <v>4</v>
      </c>
      <c r="X1547" s="2" t="s">
        <v>2337</v>
      </c>
      <c r="Y1547" s="18">
        <v>3</v>
      </c>
      <c r="Z1547" s="18">
        <v>1</v>
      </c>
      <c r="AA1547" s="18">
        <v>0</v>
      </c>
      <c r="AB1547" s="18">
        <v>0</v>
      </c>
      <c r="AC1547" s="18">
        <v>1</v>
      </c>
      <c r="AD1547" s="18">
        <v>6</v>
      </c>
      <c r="AE1547" s="18">
        <v>1</v>
      </c>
      <c r="AN1547" s="3">
        <v>12</v>
      </c>
      <c r="AO1547" s="3">
        <v>11</v>
      </c>
      <c r="AP1547" s="3">
        <v>1</v>
      </c>
      <c r="AR1547" s="2" t="s">
        <v>2343</v>
      </c>
    </row>
    <row r="1548" spans="1:44" ht="12.75">
      <c r="A1548" s="5">
        <v>44671</v>
      </c>
      <c r="C1548" s="2" t="s">
        <v>236</v>
      </c>
      <c r="E1548" s="18">
        <v>0</v>
      </c>
      <c r="F1548" s="18">
        <v>0</v>
      </c>
      <c r="G1548" s="18">
        <v>0</v>
      </c>
      <c r="H1548" s="18">
        <v>0</v>
      </c>
      <c r="I1548" s="18">
        <v>1</v>
      </c>
      <c r="J1548" s="18">
        <v>0</v>
      </c>
      <c r="K1548" s="18">
        <v>3</v>
      </c>
      <c r="T1548" s="3">
        <v>4</v>
      </c>
      <c r="U1548" s="3">
        <v>8</v>
      </c>
      <c r="V1548" s="3">
        <v>4</v>
      </c>
      <c r="X1548" s="2" t="s">
        <v>2263</v>
      </c>
      <c r="Y1548" s="18">
        <v>0</v>
      </c>
      <c r="Z1548" s="18">
        <v>0</v>
      </c>
      <c r="AA1548" s="18">
        <v>0</v>
      </c>
      <c r="AB1548" s="18">
        <v>4</v>
      </c>
      <c r="AC1548" s="18">
        <v>1</v>
      </c>
      <c r="AD1548" s="18">
        <v>0</v>
      </c>
      <c r="AE1548" s="18">
        <v>1</v>
      </c>
      <c r="AN1548" s="3">
        <v>6</v>
      </c>
      <c r="AO1548" s="3">
        <v>8</v>
      </c>
      <c r="AP1548" s="3">
        <v>1</v>
      </c>
      <c r="AR1548" s="2" t="s">
        <v>2344</v>
      </c>
    </row>
    <row r="1549" spans="1:44" ht="12.75">
      <c r="A1549" s="5">
        <v>44673</v>
      </c>
      <c r="B1549" s="2" t="s">
        <v>152</v>
      </c>
      <c r="C1549" s="2" t="s">
        <v>236</v>
      </c>
      <c r="E1549" s="18">
        <v>1</v>
      </c>
      <c r="F1549" s="18">
        <v>0</v>
      </c>
      <c r="G1549" s="18">
        <v>1</v>
      </c>
      <c r="H1549" s="18">
        <v>1</v>
      </c>
      <c r="I1549" s="18">
        <v>1</v>
      </c>
      <c r="J1549" s="18">
        <v>0</v>
      </c>
      <c r="K1549" s="18">
        <v>2</v>
      </c>
      <c r="T1549" s="3">
        <v>6</v>
      </c>
      <c r="U1549" s="3">
        <v>13</v>
      </c>
      <c r="V1549" s="3">
        <v>0</v>
      </c>
      <c r="X1549" s="2" t="s">
        <v>2346</v>
      </c>
      <c r="Y1549" s="18">
        <v>0</v>
      </c>
      <c r="Z1549" s="18">
        <v>1</v>
      </c>
      <c r="AA1549" s="18">
        <v>2</v>
      </c>
      <c r="AB1549" s="18">
        <v>2</v>
      </c>
      <c r="AC1549" s="18">
        <v>2</v>
      </c>
      <c r="AD1549" s="18">
        <v>0</v>
      </c>
      <c r="AE1549" s="18" t="s">
        <v>162</v>
      </c>
      <c r="AN1549" s="3">
        <v>7</v>
      </c>
      <c r="AO1549" s="3">
        <v>5</v>
      </c>
      <c r="AP1549" s="3">
        <v>3</v>
      </c>
      <c r="AR1549" s="2" t="s">
        <v>2345</v>
      </c>
    </row>
    <row r="1550" spans="1:44" ht="12.75">
      <c r="A1550" s="5">
        <v>44675</v>
      </c>
      <c r="B1550" s="2" t="s">
        <v>152</v>
      </c>
      <c r="C1550" s="2" t="s">
        <v>379</v>
      </c>
      <c r="E1550" s="18">
        <v>0</v>
      </c>
      <c r="F1550" s="18">
        <v>1</v>
      </c>
      <c r="G1550" s="18">
        <v>0</v>
      </c>
      <c r="H1550" s="18">
        <v>0</v>
      </c>
      <c r="I1550" s="18">
        <v>0</v>
      </c>
      <c r="J1550" s="18">
        <v>2</v>
      </c>
      <c r="K1550" s="18">
        <v>0</v>
      </c>
      <c r="T1550" s="3">
        <v>3</v>
      </c>
      <c r="U1550" s="3">
        <v>6</v>
      </c>
      <c r="V1550" s="3">
        <v>0</v>
      </c>
      <c r="X1550" s="2" t="s">
        <v>2263</v>
      </c>
      <c r="Y1550" s="18">
        <v>1</v>
      </c>
      <c r="Z1550" s="18">
        <v>0</v>
      </c>
      <c r="AA1550" s="18">
        <v>3</v>
      </c>
      <c r="AB1550" s="18">
        <v>0</v>
      </c>
      <c r="AC1550" s="18">
        <v>1</v>
      </c>
      <c r="AD1550" s="18">
        <v>0</v>
      </c>
      <c r="AE1550" s="18" t="s">
        <v>162</v>
      </c>
      <c r="AN1550" s="3">
        <v>5</v>
      </c>
      <c r="AO1550" s="3">
        <v>9</v>
      </c>
      <c r="AP1550" s="3">
        <v>1</v>
      </c>
      <c r="AR1550" s="2" t="s">
        <v>2349</v>
      </c>
    </row>
    <row r="1551" spans="1:44" ht="12.75">
      <c r="A1551" s="5">
        <v>44676</v>
      </c>
      <c r="B1551" s="2" t="s">
        <v>152</v>
      </c>
      <c r="C1551" s="2" t="s">
        <v>374</v>
      </c>
      <c r="E1551" s="18">
        <v>0</v>
      </c>
      <c r="F1551" s="18">
        <v>0</v>
      </c>
      <c r="G1551" s="18">
        <v>0</v>
      </c>
      <c r="H1551" s="18">
        <v>0</v>
      </c>
      <c r="I1551" s="18">
        <v>0</v>
      </c>
      <c r="J1551" s="18">
        <v>0</v>
      </c>
      <c r="K1551" s="18">
        <v>0</v>
      </c>
      <c r="T1551" s="3">
        <v>0</v>
      </c>
      <c r="U1551" s="3">
        <v>0</v>
      </c>
      <c r="V1551" s="3">
        <v>2</v>
      </c>
      <c r="X1551" s="2" t="s">
        <v>2347</v>
      </c>
      <c r="Y1551" s="18">
        <v>0</v>
      </c>
      <c r="Z1551" s="18">
        <v>0</v>
      </c>
      <c r="AA1551" s="18">
        <v>0</v>
      </c>
      <c r="AB1551" s="18">
        <v>0</v>
      </c>
      <c r="AC1551" s="18">
        <v>0</v>
      </c>
      <c r="AD1551" s="18">
        <v>6</v>
      </c>
      <c r="AE1551" s="18" t="s">
        <v>162</v>
      </c>
      <c r="AN1551" s="3">
        <v>6</v>
      </c>
      <c r="AO1551" s="3">
        <v>7</v>
      </c>
      <c r="AP1551" s="3">
        <v>0</v>
      </c>
      <c r="AR1551" s="2" t="s">
        <v>2348</v>
      </c>
    </row>
    <row r="1552" spans="1:44" ht="12.75">
      <c r="A1552" s="5">
        <v>44679</v>
      </c>
      <c r="B1552" s="2" t="s">
        <v>152</v>
      </c>
      <c r="C1552" s="2" t="s">
        <v>191</v>
      </c>
      <c r="E1552" s="18">
        <v>0</v>
      </c>
      <c r="F1552" s="18">
        <v>1</v>
      </c>
      <c r="G1552" s="18">
        <v>0</v>
      </c>
      <c r="H1552" s="18">
        <v>0</v>
      </c>
      <c r="I1552" s="18">
        <v>2</v>
      </c>
      <c r="J1552" s="18">
        <v>3</v>
      </c>
      <c r="K1552" s="18">
        <v>0</v>
      </c>
      <c r="T1552" s="3">
        <v>6</v>
      </c>
      <c r="U1552" s="3">
        <v>9</v>
      </c>
      <c r="V1552" s="3">
        <v>2</v>
      </c>
      <c r="X1552" s="2" t="s">
        <v>2293</v>
      </c>
      <c r="Y1552" s="18">
        <v>0</v>
      </c>
      <c r="Z1552" s="18">
        <v>0</v>
      </c>
      <c r="AA1552" s="18">
        <v>0</v>
      </c>
      <c r="AB1552" s="18">
        <v>5</v>
      </c>
      <c r="AC1552" s="18">
        <v>0</v>
      </c>
      <c r="AD1552" s="18">
        <v>0</v>
      </c>
      <c r="AE1552" s="18">
        <v>0</v>
      </c>
      <c r="AN1552" s="3">
        <v>5</v>
      </c>
      <c r="AO1552" s="3">
        <v>7</v>
      </c>
      <c r="AP1552" s="3">
        <v>2</v>
      </c>
      <c r="AR1552" s="2" t="s">
        <v>2350</v>
      </c>
    </row>
    <row r="1553" spans="1:44" ht="12.75">
      <c r="A1553" s="5">
        <v>44684</v>
      </c>
      <c r="C1553" s="2" t="s">
        <v>297</v>
      </c>
      <c r="E1553" s="18">
        <v>0</v>
      </c>
      <c r="F1553" s="18">
        <v>1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T1553" s="3">
        <v>1</v>
      </c>
      <c r="U1553" s="3">
        <v>3</v>
      </c>
      <c r="V1553" s="3">
        <v>2</v>
      </c>
      <c r="X1553" s="2" t="s">
        <v>2351</v>
      </c>
      <c r="Y1553" s="18">
        <v>3</v>
      </c>
      <c r="Z1553" s="18">
        <v>0</v>
      </c>
      <c r="AA1553" s="18">
        <v>0</v>
      </c>
      <c r="AB1553" s="18">
        <v>5</v>
      </c>
      <c r="AC1553" s="18">
        <v>0</v>
      </c>
      <c r="AD1553" s="18">
        <v>0</v>
      </c>
      <c r="AE1553" s="18" t="s">
        <v>162</v>
      </c>
      <c r="AN1553" s="3">
        <v>8</v>
      </c>
      <c r="AO1553" s="3">
        <v>8</v>
      </c>
      <c r="AP1553" s="3">
        <v>0</v>
      </c>
      <c r="AR1553" s="2" t="s">
        <v>2352</v>
      </c>
    </row>
    <row r="1554" spans="1:44" ht="12.75">
      <c r="A1554" s="5">
        <v>44684</v>
      </c>
      <c r="C1554" s="2" t="s">
        <v>297</v>
      </c>
      <c r="E1554" s="18">
        <v>0</v>
      </c>
      <c r="F1554" s="18">
        <v>0</v>
      </c>
      <c r="G1554" s="18">
        <v>0</v>
      </c>
      <c r="H1554" s="18">
        <v>2</v>
      </c>
      <c r="I1554" s="18">
        <v>0</v>
      </c>
      <c r="J1554" s="18">
        <v>0</v>
      </c>
      <c r="K1554" s="18">
        <v>2</v>
      </c>
      <c r="T1554" s="3">
        <v>4</v>
      </c>
      <c r="U1554" s="3">
        <v>6</v>
      </c>
      <c r="V1554" s="3">
        <v>5</v>
      </c>
      <c r="X1554" s="2" t="s">
        <v>2354</v>
      </c>
      <c r="Y1554" s="18">
        <v>5</v>
      </c>
      <c r="Z1554" s="18">
        <v>0</v>
      </c>
      <c r="AA1554" s="18">
        <v>2</v>
      </c>
      <c r="AB1554" s="18">
        <v>1</v>
      </c>
      <c r="AC1554" s="18">
        <v>3</v>
      </c>
      <c r="AD1554" s="18">
        <v>0</v>
      </c>
      <c r="AE1554" s="18">
        <v>0</v>
      </c>
      <c r="AN1554" s="3">
        <v>11</v>
      </c>
      <c r="AO1554" s="3">
        <v>12</v>
      </c>
      <c r="AP1554" s="3">
        <v>1</v>
      </c>
      <c r="AR1554" s="2" t="s">
        <v>2353</v>
      </c>
    </row>
    <row r="1555" spans="1:44" ht="12.75">
      <c r="A1555" s="5">
        <v>44686</v>
      </c>
      <c r="B1555" s="2" t="s">
        <v>152</v>
      </c>
      <c r="C1555" s="2" t="s">
        <v>174</v>
      </c>
      <c r="E1555" s="18">
        <v>0</v>
      </c>
      <c r="F1555" s="18">
        <v>0</v>
      </c>
      <c r="G1555" s="18">
        <v>0</v>
      </c>
      <c r="H1555" s="18">
        <v>0</v>
      </c>
      <c r="T1555" s="3">
        <v>0</v>
      </c>
      <c r="U1555" s="3">
        <v>2</v>
      </c>
      <c r="V1555" s="3">
        <v>2</v>
      </c>
      <c r="X1555" s="2" t="s">
        <v>2356</v>
      </c>
      <c r="Y1555" s="18">
        <v>3</v>
      </c>
      <c r="Z1555" s="18">
        <v>6</v>
      </c>
      <c r="AA1555" s="18">
        <v>0</v>
      </c>
      <c r="AB1555" s="18">
        <v>8</v>
      </c>
      <c r="AN1555" s="3">
        <v>17</v>
      </c>
      <c r="AO1555" s="3">
        <v>16</v>
      </c>
      <c r="AP1555" s="3">
        <v>2</v>
      </c>
      <c r="AR1555" s="2" t="s">
        <v>2355</v>
      </c>
    </row>
    <row r="1556" spans="1:44" ht="12.75">
      <c r="A1556" s="5">
        <v>44690</v>
      </c>
      <c r="C1556" s="2" t="s">
        <v>305</v>
      </c>
      <c r="E1556" s="18">
        <v>0</v>
      </c>
      <c r="F1556" s="18">
        <v>0</v>
      </c>
      <c r="G1556" s="18">
        <v>2</v>
      </c>
      <c r="H1556" s="18">
        <v>2</v>
      </c>
      <c r="I1556" s="18">
        <v>0</v>
      </c>
      <c r="J1556" s="18">
        <v>4</v>
      </c>
      <c r="K1556" s="18" t="s">
        <v>162</v>
      </c>
      <c r="T1556" s="3">
        <v>8</v>
      </c>
      <c r="U1556" s="3">
        <v>10</v>
      </c>
      <c r="V1556" s="3">
        <v>2</v>
      </c>
      <c r="X1556" s="2" t="s">
        <v>2339</v>
      </c>
      <c r="Y1556" s="18">
        <v>0</v>
      </c>
      <c r="Z1556" s="18">
        <v>0</v>
      </c>
      <c r="AA1556" s="18">
        <v>0</v>
      </c>
      <c r="AB1556" s="18">
        <v>0</v>
      </c>
      <c r="AC1556" s="18">
        <v>0</v>
      </c>
      <c r="AD1556" s="18">
        <v>0</v>
      </c>
      <c r="AE1556" s="18">
        <v>0</v>
      </c>
      <c r="AN1556" s="3">
        <v>0</v>
      </c>
      <c r="AO1556" s="3">
        <v>5</v>
      </c>
      <c r="AP1556" s="3">
        <v>1</v>
      </c>
      <c r="AR1556" s="2" t="s">
        <v>2357</v>
      </c>
    </row>
    <row r="1557" spans="1:44" ht="12.75">
      <c r="A1557" s="5">
        <v>44690</v>
      </c>
      <c r="C1557" s="2" t="s">
        <v>305</v>
      </c>
      <c r="E1557" s="18">
        <v>0</v>
      </c>
      <c r="F1557" s="18">
        <v>1</v>
      </c>
      <c r="G1557" s="18">
        <v>0</v>
      </c>
      <c r="H1557" s="18">
        <v>5</v>
      </c>
      <c r="I1557" s="18">
        <v>1</v>
      </c>
      <c r="J1557" s="18">
        <v>0</v>
      </c>
      <c r="K1557" s="18">
        <v>1</v>
      </c>
      <c r="T1557" s="3">
        <v>8</v>
      </c>
      <c r="U1557" s="3">
        <v>9</v>
      </c>
      <c r="V1557" s="3">
        <v>1</v>
      </c>
      <c r="X1557" s="2" t="s">
        <v>2347</v>
      </c>
      <c r="Y1557" s="18">
        <v>1</v>
      </c>
      <c r="Z1557" s="18">
        <v>0</v>
      </c>
      <c r="AA1557" s="18">
        <v>0</v>
      </c>
      <c r="AB1557" s="18">
        <v>0</v>
      </c>
      <c r="AC1557" s="18">
        <v>1</v>
      </c>
      <c r="AD1557" s="18">
        <v>2</v>
      </c>
      <c r="AE1557" s="18">
        <v>0</v>
      </c>
      <c r="AN1557" s="3">
        <v>4</v>
      </c>
      <c r="AO1557" s="3">
        <v>10</v>
      </c>
      <c r="AP1557" s="3">
        <v>1</v>
      </c>
      <c r="AR1557" s="2" t="s">
        <v>2358</v>
      </c>
    </row>
    <row r="1558" spans="1:44" ht="12.75">
      <c r="A1558" s="5">
        <v>44692</v>
      </c>
      <c r="C1558" s="2" t="s">
        <v>290</v>
      </c>
      <c r="E1558" s="18">
        <v>0</v>
      </c>
      <c r="F1558" s="18">
        <v>0</v>
      </c>
      <c r="G1558" s="18">
        <v>3</v>
      </c>
      <c r="H1558" s="18">
        <v>4</v>
      </c>
      <c r="I1558" s="18">
        <v>0</v>
      </c>
      <c r="J1558" s="18">
        <v>0</v>
      </c>
      <c r="K1558" s="18" t="s">
        <v>162</v>
      </c>
      <c r="T1558" s="3">
        <v>7</v>
      </c>
      <c r="U1558" s="3">
        <v>11</v>
      </c>
      <c r="V1558" s="3">
        <v>2</v>
      </c>
      <c r="X1558" s="2" t="s">
        <v>2359</v>
      </c>
      <c r="Y1558" s="18">
        <v>0</v>
      </c>
      <c r="Z1558" s="18">
        <v>0</v>
      </c>
      <c r="AA1558" s="18">
        <v>1</v>
      </c>
      <c r="AB1558" s="18">
        <v>0</v>
      </c>
      <c r="AC1558" s="18">
        <v>1</v>
      </c>
      <c r="AD1558" s="18">
        <v>0</v>
      </c>
      <c r="AE1558" s="18">
        <v>2</v>
      </c>
      <c r="AN1558" s="3">
        <v>4</v>
      </c>
      <c r="AO1558" s="3">
        <v>11</v>
      </c>
      <c r="AP1558" s="3">
        <v>1</v>
      </c>
      <c r="AR1558" s="2" t="s">
        <v>2362</v>
      </c>
    </row>
    <row r="1559" spans="1:44" ht="12.75">
      <c r="A1559" s="5">
        <v>44693</v>
      </c>
      <c r="C1559" s="2" t="s">
        <v>379</v>
      </c>
      <c r="E1559" s="18">
        <v>0</v>
      </c>
      <c r="F1559" s="18">
        <v>0</v>
      </c>
      <c r="G1559" s="18">
        <v>0</v>
      </c>
      <c r="H1559" s="18">
        <v>0</v>
      </c>
      <c r="I1559" s="18">
        <v>0</v>
      </c>
      <c r="J1559" s="18">
        <v>1</v>
      </c>
      <c r="K1559" s="18">
        <v>0</v>
      </c>
      <c r="T1559" s="3">
        <v>1</v>
      </c>
      <c r="U1559" s="3">
        <v>3</v>
      </c>
      <c r="V1559" s="3">
        <v>3</v>
      </c>
      <c r="X1559" s="2" t="s">
        <v>2361</v>
      </c>
      <c r="Y1559" s="18">
        <v>0</v>
      </c>
      <c r="Z1559" s="18">
        <v>0</v>
      </c>
      <c r="AA1559" s="18">
        <v>2</v>
      </c>
      <c r="AB1559" s="18">
        <v>0</v>
      </c>
      <c r="AC1559" s="18">
        <v>2</v>
      </c>
      <c r="AD1559" s="18">
        <v>0</v>
      </c>
      <c r="AE1559" s="18">
        <v>7</v>
      </c>
      <c r="AN1559" s="3">
        <v>11</v>
      </c>
      <c r="AO1559" s="3">
        <v>10</v>
      </c>
      <c r="AP1559" s="3">
        <v>2</v>
      </c>
      <c r="AR1559" s="2" t="s">
        <v>2360</v>
      </c>
    </row>
    <row r="1560" spans="1:44" ht="12.75">
      <c r="A1560" s="5">
        <v>44695</v>
      </c>
      <c r="B1560" s="2" t="s">
        <v>239</v>
      </c>
      <c r="C1560" s="2" t="s">
        <v>138</v>
      </c>
      <c r="E1560" s="18">
        <v>3</v>
      </c>
      <c r="F1560" s="18">
        <v>0</v>
      </c>
      <c r="G1560" s="18">
        <v>4</v>
      </c>
      <c r="H1560" s="18">
        <v>3</v>
      </c>
      <c r="I1560" s="18">
        <v>1</v>
      </c>
      <c r="T1560" s="3">
        <v>11</v>
      </c>
      <c r="U1560" s="3">
        <v>10</v>
      </c>
      <c r="V1560" s="3">
        <v>1</v>
      </c>
      <c r="X1560" s="2" t="s">
        <v>2290</v>
      </c>
      <c r="Y1560" s="18">
        <v>0</v>
      </c>
      <c r="Z1560" s="18">
        <v>0</v>
      </c>
      <c r="AA1560" s="18">
        <v>0</v>
      </c>
      <c r="AB1560" s="18">
        <v>0</v>
      </c>
      <c r="AC1560" s="18">
        <v>0</v>
      </c>
      <c r="AN1560" s="3">
        <v>0</v>
      </c>
      <c r="AO1560" s="3">
        <v>3</v>
      </c>
      <c r="AP1560" s="3">
        <v>2</v>
      </c>
      <c r="AR1560" s="2" t="s">
        <v>2363</v>
      </c>
    </row>
    <row r="1561" spans="1:44" ht="12.75">
      <c r="A1561" s="5">
        <v>44697</v>
      </c>
      <c r="C1561" s="2" t="s">
        <v>183</v>
      </c>
      <c r="E1561" s="18">
        <v>3</v>
      </c>
      <c r="F1561" s="18">
        <v>2</v>
      </c>
      <c r="G1561" s="18">
        <v>0</v>
      </c>
      <c r="H1561" s="18">
        <v>5</v>
      </c>
      <c r="I1561" s="18">
        <v>0</v>
      </c>
      <c r="J1561" s="18">
        <v>6</v>
      </c>
      <c r="K1561" s="18">
        <v>0</v>
      </c>
      <c r="T1561" s="3">
        <v>16</v>
      </c>
      <c r="U1561" s="3">
        <v>19</v>
      </c>
      <c r="V1561" s="3">
        <v>4</v>
      </c>
      <c r="X1561" s="2" t="s">
        <v>2365</v>
      </c>
      <c r="Y1561" s="18">
        <v>0</v>
      </c>
      <c r="Z1561" s="18">
        <v>1</v>
      </c>
      <c r="AA1561" s="18">
        <v>4</v>
      </c>
      <c r="AB1561" s="18">
        <v>3</v>
      </c>
      <c r="AC1561" s="18">
        <v>9</v>
      </c>
      <c r="AD1561" s="18">
        <v>2</v>
      </c>
      <c r="AE1561" s="18">
        <v>8</v>
      </c>
      <c r="AN1561" s="3">
        <v>27</v>
      </c>
      <c r="AO1561" s="3">
        <v>26</v>
      </c>
      <c r="AP1561" s="3">
        <v>3</v>
      </c>
      <c r="AR1561" s="2" t="s">
        <v>2364</v>
      </c>
    </row>
    <row r="1562" spans="1:44" ht="12.75">
      <c r="A1562" s="5">
        <v>44699</v>
      </c>
      <c r="C1562" s="2" t="s">
        <v>169</v>
      </c>
      <c r="E1562" s="18">
        <v>0</v>
      </c>
      <c r="F1562" s="18">
        <v>1</v>
      </c>
      <c r="G1562" s="18">
        <v>0</v>
      </c>
      <c r="H1562" s="18">
        <v>0</v>
      </c>
      <c r="I1562" s="18">
        <v>1</v>
      </c>
      <c r="J1562" s="18">
        <v>0</v>
      </c>
      <c r="K1562" s="18">
        <v>2</v>
      </c>
      <c r="L1562" s="18">
        <v>0</v>
      </c>
      <c r="M1562" s="18">
        <v>1</v>
      </c>
      <c r="T1562" s="3">
        <v>5</v>
      </c>
      <c r="U1562" s="3">
        <v>13</v>
      </c>
      <c r="V1562" s="3">
        <v>1</v>
      </c>
      <c r="X1562" s="2" t="s">
        <v>2367</v>
      </c>
      <c r="Y1562" s="18">
        <v>2</v>
      </c>
      <c r="Z1562" s="18">
        <v>0</v>
      </c>
      <c r="AA1562" s="18">
        <v>2</v>
      </c>
      <c r="AB1562" s="18">
        <v>0</v>
      </c>
      <c r="AC1562" s="18">
        <v>0</v>
      </c>
      <c r="AD1562" s="18">
        <v>0</v>
      </c>
      <c r="AE1562" s="18">
        <v>0</v>
      </c>
      <c r="AF1562" s="18">
        <v>0</v>
      </c>
      <c r="AG1562" s="18">
        <v>0</v>
      </c>
      <c r="AN1562" s="3">
        <v>4</v>
      </c>
      <c r="AO1562" s="3">
        <v>12</v>
      </c>
      <c r="AP1562" s="3">
        <v>1</v>
      </c>
      <c r="AR1562" s="2" t="s">
        <v>2366</v>
      </c>
    </row>
    <row r="1563" spans="1:44" ht="12.75">
      <c r="A1563" s="5">
        <v>44707</v>
      </c>
      <c r="B1563" s="2" t="s">
        <v>239</v>
      </c>
      <c r="C1563" s="2" t="s">
        <v>367</v>
      </c>
      <c r="D1563" s="2" t="s">
        <v>258</v>
      </c>
      <c r="E1563" s="18">
        <v>1</v>
      </c>
      <c r="F1563" s="18">
        <v>2</v>
      </c>
      <c r="G1563" s="18">
        <v>0</v>
      </c>
      <c r="H1563" s="18">
        <v>0</v>
      </c>
      <c r="I1563" s="18">
        <v>3</v>
      </c>
      <c r="J1563" s="18">
        <v>3</v>
      </c>
      <c r="K1563" s="18" t="s">
        <v>162</v>
      </c>
      <c r="T1563" s="3">
        <v>9</v>
      </c>
      <c r="U1563" s="3">
        <v>11</v>
      </c>
      <c r="V1563" s="3">
        <v>0</v>
      </c>
      <c r="X1563" s="2" t="s">
        <v>2290</v>
      </c>
      <c r="Y1563" s="18">
        <v>0</v>
      </c>
      <c r="Z1563" s="18">
        <v>2</v>
      </c>
      <c r="AA1563" s="18">
        <v>0</v>
      </c>
      <c r="AB1563" s="18">
        <v>0</v>
      </c>
      <c r="AC1563" s="18">
        <v>3</v>
      </c>
      <c r="AD1563" s="18">
        <v>0</v>
      </c>
      <c r="AE1563" s="18">
        <v>0</v>
      </c>
      <c r="AN1563" s="3">
        <v>5</v>
      </c>
      <c r="AO1563" s="3">
        <v>9</v>
      </c>
      <c r="AP1563" s="3">
        <v>1</v>
      </c>
      <c r="AR1563" s="2" t="s">
        <v>2368</v>
      </c>
    </row>
    <row r="1564" spans="1:44" ht="12.75">
      <c r="A1564" s="5">
        <v>44712</v>
      </c>
      <c r="B1564" s="2" t="s">
        <v>239</v>
      </c>
      <c r="C1564" s="2" t="s">
        <v>135</v>
      </c>
      <c r="D1564" s="2" t="s">
        <v>260</v>
      </c>
      <c r="E1564" s="18">
        <v>0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T1564" s="3">
        <v>0</v>
      </c>
      <c r="U1564" s="3">
        <v>2</v>
      </c>
      <c r="V1564" s="3">
        <v>3</v>
      </c>
      <c r="X1564" s="2" t="s">
        <v>2367</v>
      </c>
      <c r="Y1564" s="18">
        <v>0</v>
      </c>
      <c r="Z1564" s="18">
        <v>0</v>
      </c>
      <c r="AA1564" s="18">
        <v>3</v>
      </c>
      <c r="AB1564" s="18">
        <v>0</v>
      </c>
      <c r="AC1564" s="18">
        <v>0</v>
      </c>
      <c r="AD1564" s="18">
        <v>0</v>
      </c>
      <c r="AE1564" s="18">
        <v>0</v>
      </c>
      <c r="AN1564" s="3">
        <v>3</v>
      </c>
      <c r="AO1564" s="3">
        <v>5</v>
      </c>
      <c r="AP1564" s="3">
        <v>3</v>
      </c>
      <c r="AR1564" s="2" t="s">
        <v>2369</v>
      </c>
    </row>
  </sheetData>
  <sheetProtection/>
  <mergeCells count="5">
    <mergeCell ref="C68:V68"/>
    <mergeCell ref="C70:V70"/>
    <mergeCell ref="C1518:V1518"/>
    <mergeCell ref="A1:AR1"/>
    <mergeCell ref="A2:AR2"/>
  </mergeCells>
  <printOptions/>
  <pageMargins left="0.7" right="0.7" top="0.75" bottom="0.75" header="0.3" footer="0.3"/>
  <pageSetup firstPageNumber="3" useFirstPageNumber="1" fitToHeight="41" horizontalDpi="600" verticalDpi="600" orientation="landscape" scale="72" r:id="rId1"/>
  <headerFooter alignWithMargins="0">
    <oddFooter>&amp;C&amp;"Times New Roman,Regular"&amp;10&amp;P</oddFooter>
  </headerFooter>
  <rowBreaks count="33" manualBreakCount="33">
    <brk id="51" max="43" man="1"/>
    <brk id="100" max="43" man="1"/>
    <brk id="150" max="43" man="1"/>
    <brk id="190" max="43" man="1"/>
    <brk id="241" max="43" man="1"/>
    <brk id="287" max="43" man="1"/>
    <brk id="337" max="43" man="1"/>
    <brk id="373" max="43" man="1"/>
    <brk id="527" max="43" man="1"/>
    <brk id="559" max="43" man="1"/>
    <brk id="592" max="43" man="1"/>
    <brk id="625" max="43" man="1"/>
    <brk id="659" max="43" man="1"/>
    <brk id="689" max="43" man="1"/>
    <brk id="722" max="43" man="1"/>
    <brk id="773" max="43" man="1"/>
    <brk id="825" max="43" man="1"/>
    <brk id="871" max="43" man="1"/>
    <brk id="920" max="43" man="1"/>
    <brk id="965" max="43" man="1"/>
    <brk id="1009" max="43" man="1"/>
    <brk id="1053" max="43" man="1"/>
    <brk id="1097" max="43" man="1"/>
    <brk id="1139" max="43" man="1"/>
    <brk id="1180" max="43" man="1"/>
    <brk id="1222" max="43" man="1"/>
    <brk id="1266" max="43" man="1"/>
    <brk id="1309" max="43" man="1"/>
    <brk id="1350" max="43" man="1"/>
    <brk id="1388" max="43" man="1"/>
    <brk id="1429" max="43" man="1"/>
    <brk id="1475" max="43" man="1"/>
    <brk id="1519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37"/>
  <sheetViews>
    <sheetView zoomScalePageLayoutView="0" workbookViewId="0" topLeftCell="A4">
      <selection activeCell="A4" sqref="A4"/>
    </sheetView>
  </sheetViews>
  <sheetFormatPr defaultColWidth="11.4453125" defaultRowHeight="15.75"/>
  <cols>
    <col min="1" max="1" width="10.77734375" style="5" bestFit="1" customWidth="1"/>
    <col min="2" max="2" width="2.99609375" style="2" bestFit="1" customWidth="1"/>
    <col min="3" max="3" width="15.3359375" style="2" bestFit="1" customWidth="1"/>
    <col min="4" max="4" width="4.5546875" style="2" bestFit="1" customWidth="1"/>
    <col min="5" max="19" width="1.88671875" style="18" bestFit="1" customWidth="1"/>
    <col min="20" max="22" width="2.3359375" style="3" customWidth="1"/>
    <col min="23" max="23" width="0.88671875" style="2" customWidth="1"/>
    <col min="24" max="24" width="16.99609375" style="2" bestFit="1" customWidth="1"/>
    <col min="25" max="31" width="1.88671875" style="18" bestFit="1" customWidth="1"/>
    <col min="32" max="32" width="1.2265625" style="18" bestFit="1" customWidth="1"/>
    <col min="33" max="39" width="1.88671875" style="18" bestFit="1" customWidth="1"/>
    <col min="40" max="42" width="2.3359375" style="3" customWidth="1"/>
    <col min="43" max="43" width="0.88671875" style="2" customWidth="1"/>
    <col min="44" max="44" width="17.21484375" style="2" bestFit="1" customWidth="1"/>
    <col min="45" max="16384" width="11.4453125" style="2" customWidth="1"/>
  </cols>
  <sheetData>
    <row r="1" spans="1:44" ht="15">
      <c r="A1" s="30" t="s">
        <v>2332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12.75">
      <c r="A2" s="31" t="s">
        <v>2334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4" spans="1:44" ht="12.75">
      <c r="A4" s="6" t="s">
        <v>139</v>
      </c>
      <c r="B4" s="6"/>
      <c r="C4" s="6" t="s">
        <v>140</v>
      </c>
      <c r="D4" s="6"/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19">
        <v>9</v>
      </c>
      <c r="N4" s="19" t="s">
        <v>141</v>
      </c>
      <c r="O4" s="19" t="s">
        <v>142</v>
      </c>
      <c r="P4" s="19" t="s">
        <v>143</v>
      </c>
      <c r="Q4" s="19" t="s">
        <v>144</v>
      </c>
      <c r="R4" s="19" t="s">
        <v>145</v>
      </c>
      <c r="S4" s="19" t="s">
        <v>146</v>
      </c>
      <c r="T4" s="7" t="s">
        <v>149</v>
      </c>
      <c r="U4" s="7" t="s">
        <v>150</v>
      </c>
      <c r="V4" s="7" t="s">
        <v>151</v>
      </c>
      <c r="W4" s="7"/>
      <c r="X4" s="6" t="s">
        <v>395</v>
      </c>
      <c r="Y4" s="19">
        <v>1</v>
      </c>
      <c r="Z4" s="19">
        <v>2</v>
      </c>
      <c r="AA4" s="19">
        <v>3</v>
      </c>
      <c r="AB4" s="19">
        <v>4</v>
      </c>
      <c r="AC4" s="19">
        <v>5</v>
      </c>
      <c r="AD4" s="19">
        <v>6</v>
      </c>
      <c r="AE4" s="19">
        <v>7</v>
      </c>
      <c r="AF4" s="19">
        <v>8</v>
      </c>
      <c r="AG4" s="19">
        <v>9</v>
      </c>
      <c r="AH4" s="19" t="s">
        <v>141</v>
      </c>
      <c r="AI4" s="19" t="s">
        <v>142</v>
      </c>
      <c r="AJ4" s="19" t="s">
        <v>143</v>
      </c>
      <c r="AK4" s="19" t="s">
        <v>144</v>
      </c>
      <c r="AL4" s="19" t="s">
        <v>145</v>
      </c>
      <c r="AM4" s="19" t="s">
        <v>146</v>
      </c>
      <c r="AN4" s="7" t="s">
        <v>149</v>
      </c>
      <c r="AO4" s="7" t="s">
        <v>150</v>
      </c>
      <c r="AP4" s="7" t="s">
        <v>151</v>
      </c>
      <c r="AQ4" s="7"/>
      <c r="AR4" s="6" t="s">
        <v>395</v>
      </c>
    </row>
    <row r="5" spans="1:44" ht="12.75" customHeight="1">
      <c r="A5" s="4">
        <v>14732</v>
      </c>
      <c r="B5" s="2" t="s">
        <v>152</v>
      </c>
      <c r="C5" s="2" t="s">
        <v>168</v>
      </c>
      <c r="E5" s="18">
        <v>0</v>
      </c>
      <c r="F5" s="18">
        <v>0</v>
      </c>
      <c r="G5" s="18">
        <v>0</v>
      </c>
      <c r="H5" s="18">
        <v>1</v>
      </c>
      <c r="I5" s="18">
        <v>2</v>
      </c>
      <c r="J5" s="18">
        <v>2</v>
      </c>
      <c r="K5" s="18">
        <v>0</v>
      </c>
      <c r="L5" s="18">
        <v>0</v>
      </c>
      <c r="M5" s="18">
        <v>2</v>
      </c>
      <c r="N5" s="18">
        <v>2</v>
      </c>
      <c r="T5" s="3">
        <v>9</v>
      </c>
      <c r="U5" s="3">
        <v>10</v>
      </c>
      <c r="V5" s="3">
        <v>0</v>
      </c>
      <c r="X5" s="2" t="s">
        <v>56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1</v>
      </c>
      <c r="AG5" s="18">
        <v>0</v>
      </c>
      <c r="AN5" s="3">
        <v>1</v>
      </c>
      <c r="AO5" s="3">
        <v>2</v>
      </c>
      <c r="AP5" s="3">
        <v>0</v>
      </c>
      <c r="AR5" s="2" t="s">
        <v>31</v>
      </c>
    </row>
    <row r="6" spans="1:44" ht="12.75" customHeight="1">
      <c r="A6" s="4">
        <v>15096</v>
      </c>
      <c r="C6" s="2" t="s">
        <v>168</v>
      </c>
      <c r="E6" s="18">
        <v>0</v>
      </c>
      <c r="F6" s="18">
        <v>4</v>
      </c>
      <c r="G6" s="18">
        <v>0</v>
      </c>
      <c r="H6" s="18">
        <v>0</v>
      </c>
      <c r="I6" s="18">
        <v>2</v>
      </c>
      <c r="J6" s="18">
        <v>0</v>
      </c>
      <c r="K6" s="18">
        <v>4</v>
      </c>
      <c r="L6" s="18">
        <v>2</v>
      </c>
      <c r="M6" s="18" t="s">
        <v>162</v>
      </c>
      <c r="T6" s="3">
        <v>12</v>
      </c>
      <c r="U6" s="3">
        <v>20</v>
      </c>
      <c r="V6" s="3">
        <v>3</v>
      </c>
      <c r="X6" s="2" t="s">
        <v>1751</v>
      </c>
      <c r="Y6" s="18">
        <v>0</v>
      </c>
      <c r="Z6" s="18">
        <v>0</v>
      </c>
      <c r="AA6" s="18">
        <v>0</v>
      </c>
      <c r="AB6" s="18">
        <v>3</v>
      </c>
      <c r="AC6" s="18">
        <v>0</v>
      </c>
      <c r="AD6" s="18">
        <v>0</v>
      </c>
      <c r="AE6" s="18">
        <v>0</v>
      </c>
      <c r="AF6" s="18">
        <v>0</v>
      </c>
      <c r="AG6" s="18">
        <v>3</v>
      </c>
      <c r="AN6" s="3">
        <v>6</v>
      </c>
      <c r="AO6" s="3">
        <v>11</v>
      </c>
      <c r="AP6" s="3">
        <v>3</v>
      </c>
      <c r="AR6" s="2" t="s">
        <v>45</v>
      </c>
    </row>
    <row r="7" spans="1:44" ht="12.75" customHeight="1">
      <c r="A7" s="4">
        <v>15461</v>
      </c>
      <c r="B7" s="2" t="s">
        <v>152</v>
      </c>
      <c r="C7" s="2" t="s">
        <v>168</v>
      </c>
      <c r="E7" s="18">
        <v>0</v>
      </c>
      <c r="F7" s="18">
        <v>0</v>
      </c>
      <c r="G7" s="18">
        <v>0</v>
      </c>
      <c r="H7" s="18">
        <v>0</v>
      </c>
      <c r="I7" s="18">
        <v>3</v>
      </c>
      <c r="J7" s="18">
        <v>0</v>
      </c>
      <c r="K7" s="18">
        <v>0</v>
      </c>
      <c r="L7" s="18">
        <v>0</v>
      </c>
      <c r="M7" s="18">
        <v>0</v>
      </c>
      <c r="T7" s="3">
        <v>3</v>
      </c>
      <c r="U7" s="3">
        <v>7</v>
      </c>
      <c r="V7" s="3">
        <v>6</v>
      </c>
      <c r="X7" s="2" t="s">
        <v>68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2</v>
      </c>
      <c r="AN7" s="3">
        <v>2</v>
      </c>
      <c r="AO7" s="3">
        <v>2</v>
      </c>
      <c r="AP7" s="3">
        <v>7</v>
      </c>
      <c r="AR7" s="2" t="s">
        <v>362</v>
      </c>
    </row>
    <row r="8" spans="1:44" ht="12.75" customHeight="1">
      <c r="A8" s="4">
        <v>15466</v>
      </c>
      <c r="C8" s="2" t="s">
        <v>168</v>
      </c>
      <c r="E8" s="18">
        <v>2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T8" s="3">
        <v>4</v>
      </c>
      <c r="U8" s="3">
        <v>8</v>
      </c>
      <c r="V8" s="3">
        <v>1</v>
      </c>
      <c r="X8" s="2" t="s">
        <v>65</v>
      </c>
      <c r="Y8" s="18">
        <v>0</v>
      </c>
      <c r="Z8" s="18">
        <v>0</v>
      </c>
      <c r="AA8" s="18">
        <v>0</v>
      </c>
      <c r="AB8" s="18">
        <v>1</v>
      </c>
      <c r="AC8" s="18">
        <v>0</v>
      </c>
      <c r="AD8" s="18">
        <v>2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N8" s="3">
        <v>3</v>
      </c>
      <c r="AO8" s="3">
        <v>7</v>
      </c>
      <c r="AP8" s="3">
        <v>0</v>
      </c>
      <c r="AR8" s="2" t="s">
        <v>45</v>
      </c>
    </row>
    <row r="9" spans="1:44" ht="12.75" customHeight="1">
      <c r="A9" s="4">
        <v>16925</v>
      </c>
      <c r="C9" s="2" t="s">
        <v>168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T9" s="3">
        <v>2</v>
      </c>
      <c r="U9" s="3">
        <v>6</v>
      </c>
      <c r="V9" s="3">
        <v>2</v>
      </c>
      <c r="X9" s="2" t="s">
        <v>1930</v>
      </c>
      <c r="Y9" s="18">
        <v>0</v>
      </c>
      <c r="Z9" s="18">
        <v>2</v>
      </c>
      <c r="AA9" s="18">
        <v>6</v>
      </c>
      <c r="AB9" s="18">
        <v>0</v>
      </c>
      <c r="AC9" s="18">
        <v>0</v>
      </c>
      <c r="AD9" s="18">
        <v>9</v>
      </c>
      <c r="AE9" s="18">
        <v>2</v>
      </c>
      <c r="AN9" s="3">
        <v>19</v>
      </c>
      <c r="AO9" s="3">
        <v>11</v>
      </c>
      <c r="AP9" s="3">
        <v>1</v>
      </c>
      <c r="AR9" s="2" t="s">
        <v>404</v>
      </c>
    </row>
    <row r="10" spans="1:44" ht="12.75" customHeight="1">
      <c r="A10" s="4">
        <v>17308</v>
      </c>
      <c r="B10" s="2" t="s">
        <v>152</v>
      </c>
      <c r="C10" s="2" t="s">
        <v>168</v>
      </c>
      <c r="E10" s="18">
        <v>0</v>
      </c>
      <c r="F10" s="18">
        <v>0</v>
      </c>
      <c r="G10" s="18">
        <v>0</v>
      </c>
      <c r="H10" s="18">
        <v>2</v>
      </c>
      <c r="I10" s="18">
        <v>0</v>
      </c>
      <c r="J10" s="18">
        <v>1</v>
      </c>
      <c r="K10" s="18">
        <v>0</v>
      </c>
      <c r="T10" s="3">
        <v>3</v>
      </c>
      <c r="U10" s="3">
        <v>5</v>
      </c>
      <c r="V10" s="3">
        <v>6</v>
      </c>
      <c r="X10" s="2" t="s">
        <v>75</v>
      </c>
      <c r="Y10" s="18">
        <v>0</v>
      </c>
      <c r="Z10" s="18">
        <v>0</v>
      </c>
      <c r="AA10" s="18">
        <v>0</v>
      </c>
      <c r="AB10" s="18">
        <v>4</v>
      </c>
      <c r="AC10" s="18">
        <v>1</v>
      </c>
      <c r="AD10" s="18">
        <v>0</v>
      </c>
      <c r="AE10" s="18" t="s">
        <v>162</v>
      </c>
      <c r="AN10" s="3">
        <f>SUM(Y10:AH10)</f>
        <v>5</v>
      </c>
      <c r="AO10" s="3">
        <v>5</v>
      </c>
      <c r="AP10" s="3">
        <v>2</v>
      </c>
      <c r="AR10" s="2" t="s">
        <v>358</v>
      </c>
    </row>
    <row r="11" spans="1:44" ht="12.75" customHeight="1">
      <c r="A11" s="4">
        <v>17665</v>
      </c>
      <c r="C11" s="2" t="s">
        <v>168</v>
      </c>
      <c r="E11" s="18">
        <v>1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</v>
      </c>
      <c r="T11" s="3">
        <v>2</v>
      </c>
      <c r="U11" s="3">
        <v>5</v>
      </c>
      <c r="V11" s="3">
        <v>3</v>
      </c>
      <c r="X11" s="2" t="s">
        <v>75</v>
      </c>
      <c r="Y11" s="18">
        <v>1</v>
      </c>
      <c r="Z11" s="18">
        <v>0</v>
      </c>
      <c r="AA11" s="18">
        <v>4</v>
      </c>
      <c r="AB11" s="18">
        <v>4</v>
      </c>
      <c r="AC11" s="18">
        <v>4</v>
      </c>
      <c r="AD11" s="18">
        <v>0</v>
      </c>
      <c r="AE11" s="18">
        <v>0</v>
      </c>
      <c r="AN11" s="3">
        <v>13</v>
      </c>
      <c r="AO11" s="3">
        <v>11</v>
      </c>
      <c r="AP11" s="3">
        <v>4</v>
      </c>
      <c r="AR11" s="2" t="s">
        <v>348</v>
      </c>
    </row>
    <row r="12" spans="1:44" ht="12.75" customHeight="1">
      <c r="A12" s="20">
        <v>1948</v>
      </c>
      <c r="B12" s="2" t="s">
        <v>152</v>
      </c>
      <c r="C12" s="2" t="s">
        <v>168</v>
      </c>
      <c r="E12" s="18">
        <v>0</v>
      </c>
      <c r="F12" s="18">
        <v>0</v>
      </c>
      <c r="G12" s="18">
        <v>2</v>
      </c>
      <c r="H12" s="18">
        <v>0</v>
      </c>
      <c r="I12" s="18">
        <v>0</v>
      </c>
      <c r="J12" s="18">
        <v>0</v>
      </c>
      <c r="K12" s="18">
        <v>0</v>
      </c>
      <c r="T12" s="3">
        <v>2</v>
      </c>
      <c r="U12" s="3">
        <v>4</v>
      </c>
      <c r="V12" s="3">
        <v>5</v>
      </c>
      <c r="X12" s="2" t="s">
        <v>78</v>
      </c>
      <c r="Y12" s="18">
        <v>0</v>
      </c>
      <c r="Z12" s="18">
        <v>3</v>
      </c>
      <c r="AA12" s="18">
        <v>2</v>
      </c>
      <c r="AB12" s="18">
        <v>3</v>
      </c>
      <c r="AC12" s="18">
        <v>0</v>
      </c>
      <c r="AD12" s="18">
        <v>0</v>
      </c>
      <c r="AE12" s="18" t="s">
        <v>162</v>
      </c>
      <c r="AN12" s="3">
        <v>8</v>
      </c>
      <c r="AO12" s="3">
        <v>7</v>
      </c>
      <c r="AP12" s="3">
        <v>1</v>
      </c>
      <c r="AR12" s="2" t="s">
        <v>350</v>
      </c>
    </row>
    <row r="13" spans="1:44" ht="12.75" customHeight="1">
      <c r="A13" s="4">
        <v>18022</v>
      </c>
      <c r="C13" s="2" t="s">
        <v>168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T13" s="3">
        <v>0</v>
      </c>
      <c r="U13" s="3">
        <v>0</v>
      </c>
      <c r="V13" s="3">
        <v>5</v>
      </c>
      <c r="X13" s="2" t="s">
        <v>76</v>
      </c>
      <c r="Y13" s="18">
        <v>0</v>
      </c>
      <c r="Z13" s="18">
        <v>0</v>
      </c>
      <c r="AA13" s="18">
        <v>0</v>
      </c>
      <c r="AB13" s="18">
        <v>0</v>
      </c>
      <c r="AC13" s="18">
        <v>2</v>
      </c>
      <c r="AD13" s="18">
        <v>4</v>
      </c>
      <c r="AE13" s="18">
        <v>0</v>
      </c>
      <c r="AN13" s="3">
        <v>6</v>
      </c>
      <c r="AO13" s="3">
        <v>4</v>
      </c>
      <c r="AP13" s="3">
        <v>2</v>
      </c>
      <c r="AR13" s="2" t="s">
        <v>336</v>
      </c>
    </row>
    <row r="14" spans="1:44" ht="12.75" customHeight="1">
      <c r="A14" s="4">
        <v>18036</v>
      </c>
      <c r="B14" s="2" t="s">
        <v>152</v>
      </c>
      <c r="C14" s="2" t="s">
        <v>168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1</v>
      </c>
      <c r="T14" s="3">
        <v>1</v>
      </c>
      <c r="U14" s="3">
        <v>3</v>
      </c>
      <c r="V14" s="3">
        <v>5</v>
      </c>
      <c r="X14" s="2" t="s">
        <v>80</v>
      </c>
      <c r="Y14" s="18">
        <v>1</v>
      </c>
      <c r="Z14" s="18">
        <v>0</v>
      </c>
      <c r="AA14" s="18">
        <v>3</v>
      </c>
      <c r="AB14" s="18">
        <v>0</v>
      </c>
      <c r="AC14" s="18">
        <v>5</v>
      </c>
      <c r="AD14" s="18">
        <v>0</v>
      </c>
      <c r="AE14" s="18" t="s">
        <v>162</v>
      </c>
      <c r="AN14" s="3">
        <v>9</v>
      </c>
      <c r="AO14" s="3">
        <v>8</v>
      </c>
      <c r="AP14" s="3">
        <v>1</v>
      </c>
      <c r="AR14" s="2" t="s">
        <v>343</v>
      </c>
    </row>
    <row r="15" spans="1:44" ht="12.75" customHeight="1">
      <c r="A15" s="4">
        <v>18385</v>
      </c>
      <c r="C15" s="2" t="s">
        <v>168</v>
      </c>
      <c r="E15" s="18">
        <v>2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</v>
      </c>
      <c r="T15" s="3">
        <f aca="true" t="shared" si="0" ref="T15:T21">SUM(E15:M15)</f>
        <v>3</v>
      </c>
      <c r="U15" s="3">
        <v>10</v>
      </c>
      <c r="V15" s="3">
        <v>1</v>
      </c>
      <c r="X15" s="2" t="s">
        <v>409</v>
      </c>
      <c r="Y15" s="18">
        <v>1</v>
      </c>
      <c r="Z15" s="18">
        <v>0</v>
      </c>
      <c r="AA15" s="18">
        <v>0</v>
      </c>
      <c r="AB15" s="18">
        <v>1</v>
      </c>
      <c r="AC15" s="18">
        <v>2</v>
      </c>
      <c r="AD15" s="18">
        <v>0</v>
      </c>
      <c r="AE15" s="18">
        <v>0</v>
      </c>
      <c r="AN15" s="3">
        <v>4</v>
      </c>
      <c r="AO15" s="3">
        <v>3</v>
      </c>
      <c r="AP15" s="3">
        <v>2</v>
      </c>
      <c r="AR15" s="2" t="s">
        <v>1936</v>
      </c>
    </row>
    <row r="16" spans="1:44" ht="12.75" customHeight="1">
      <c r="A16" s="4">
        <v>18399</v>
      </c>
      <c r="B16" s="2" t="s">
        <v>152</v>
      </c>
      <c r="C16" s="2" t="s">
        <v>168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T16" s="3">
        <f t="shared" si="0"/>
        <v>1</v>
      </c>
      <c r="U16" s="3">
        <v>2</v>
      </c>
      <c r="V16" s="3">
        <v>1</v>
      </c>
      <c r="X16" s="2" t="s">
        <v>415</v>
      </c>
      <c r="Y16" s="18">
        <v>1</v>
      </c>
      <c r="Z16" s="18">
        <v>0</v>
      </c>
      <c r="AA16" s="18">
        <v>1</v>
      </c>
      <c r="AB16" s="18">
        <v>0</v>
      </c>
      <c r="AC16" s="18">
        <v>0</v>
      </c>
      <c r="AD16" s="18">
        <v>1</v>
      </c>
      <c r="AE16" s="18" t="s">
        <v>162</v>
      </c>
      <c r="AN16" s="3">
        <v>3</v>
      </c>
      <c r="AO16" s="3">
        <v>5</v>
      </c>
      <c r="AP16" s="3">
        <v>2</v>
      </c>
      <c r="AR16" s="2" t="s">
        <v>416</v>
      </c>
    </row>
    <row r="17" spans="1:44" ht="12.75" customHeight="1">
      <c r="A17" s="4">
        <f>DATE(51,5,1)</f>
        <v>18749</v>
      </c>
      <c r="B17" s="2" t="s">
        <v>152</v>
      </c>
      <c r="C17" s="2" t="s">
        <v>168</v>
      </c>
      <c r="E17" s="18">
        <v>0</v>
      </c>
      <c r="F17" s="18">
        <v>1</v>
      </c>
      <c r="G17" s="18">
        <v>0</v>
      </c>
      <c r="H17" s="18">
        <v>0</v>
      </c>
      <c r="I17" s="18">
        <v>0</v>
      </c>
      <c r="J17" s="18">
        <v>1</v>
      </c>
      <c r="K17" s="18">
        <v>1</v>
      </c>
      <c r="T17" s="3">
        <f t="shared" si="0"/>
        <v>3</v>
      </c>
      <c r="U17" s="3">
        <v>9</v>
      </c>
      <c r="V17" s="3">
        <v>1</v>
      </c>
      <c r="X17" s="2" t="s">
        <v>1945</v>
      </c>
      <c r="Y17" s="18">
        <v>1</v>
      </c>
      <c r="Z17" s="18">
        <v>2</v>
      </c>
      <c r="AA17" s="18">
        <v>2</v>
      </c>
      <c r="AB17" s="18">
        <v>0</v>
      </c>
      <c r="AC17" s="18">
        <v>0</v>
      </c>
      <c r="AD17" s="18">
        <v>0</v>
      </c>
      <c r="AE17" s="18">
        <v>0</v>
      </c>
      <c r="AN17" s="3">
        <v>5</v>
      </c>
      <c r="AO17" s="3">
        <v>5</v>
      </c>
      <c r="AP17" s="3">
        <v>3</v>
      </c>
      <c r="AR17" s="2" t="s">
        <v>199</v>
      </c>
    </row>
    <row r="18" spans="1:44" ht="12.75" customHeight="1">
      <c r="A18" s="4">
        <f>DATE(51,5,15)</f>
        <v>18763</v>
      </c>
      <c r="C18" s="2" t="s">
        <v>168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T18" s="3">
        <f t="shared" si="0"/>
        <v>0</v>
      </c>
      <c r="U18" s="3">
        <v>2</v>
      </c>
      <c r="V18" s="3">
        <v>4</v>
      </c>
      <c r="X18" s="2" t="s">
        <v>1948</v>
      </c>
      <c r="Y18" s="18">
        <v>0</v>
      </c>
      <c r="Z18" s="18">
        <v>3</v>
      </c>
      <c r="AA18" s="18">
        <v>3</v>
      </c>
      <c r="AB18" s="18">
        <v>0</v>
      </c>
      <c r="AC18" s="18">
        <v>0</v>
      </c>
      <c r="AD18" s="18">
        <v>0</v>
      </c>
      <c r="AE18" s="18">
        <v>3</v>
      </c>
      <c r="AN18" s="3">
        <v>9</v>
      </c>
      <c r="AO18" s="3">
        <v>7</v>
      </c>
      <c r="AP18" s="3">
        <v>1</v>
      </c>
      <c r="AR18" s="2" t="s">
        <v>423</v>
      </c>
    </row>
    <row r="19" spans="1:44" ht="12.75" customHeight="1">
      <c r="A19" s="4">
        <f>DATE(52,4,29)</f>
        <v>19113</v>
      </c>
      <c r="C19" s="2" t="s">
        <v>168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T19" s="3">
        <f t="shared" si="0"/>
        <v>0</v>
      </c>
      <c r="U19" s="3">
        <v>3</v>
      </c>
      <c r="V19" s="3">
        <v>6</v>
      </c>
      <c r="X19" s="2" t="s">
        <v>635</v>
      </c>
      <c r="Y19" s="18">
        <v>3</v>
      </c>
      <c r="Z19" s="18">
        <v>1</v>
      </c>
      <c r="AA19" s="18">
        <v>0</v>
      </c>
      <c r="AB19" s="18">
        <v>0</v>
      </c>
      <c r="AC19" s="18">
        <v>2</v>
      </c>
      <c r="AD19" s="18">
        <v>1</v>
      </c>
      <c r="AE19" s="18">
        <v>0</v>
      </c>
      <c r="AN19" s="3">
        <v>7</v>
      </c>
      <c r="AO19" s="3">
        <v>10</v>
      </c>
      <c r="AP19" s="3">
        <v>1</v>
      </c>
      <c r="AR19" s="2" t="s">
        <v>636</v>
      </c>
    </row>
    <row r="20" spans="1:44" ht="12.75" customHeight="1">
      <c r="A20" s="4">
        <f>DATE(53,4,28)</f>
        <v>19477</v>
      </c>
      <c r="C20" s="2" t="s">
        <v>168</v>
      </c>
      <c r="E20" s="18">
        <v>0</v>
      </c>
      <c r="F20" s="18">
        <v>0</v>
      </c>
      <c r="G20" s="18">
        <v>3</v>
      </c>
      <c r="H20" s="18">
        <v>0</v>
      </c>
      <c r="I20" s="18">
        <v>0</v>
      </c>
      <c r="J20" s="18">
        <v>1</v>
      </c>
      <c r="K20" s="18" t="s">
        <v>162</v>
      </c>
      <c r="T20" s="3">
        <f t="shared" si="0"/>
        <v>4</v>
      </c>
      <c r="U20" s="3">
        <v>3</v>
      </c>
      <c r="V20" s="3">
        <v>2</v>
      </c>
      <c r="X20" s="2" t="s">
        <v>644</v>
      </c>
      <c r="Y20" s="18">
        <v>0</v>
      </c>
      <c r="Z20" s="18">
        <v>0</v>
      </c>
      <c r="AA20" s="18">
        <v>1</v>
      </c>
      <c r="AB20" s="18">
        <v>1</v>
      </c>
      <c r="AC20" s="18">
        <v>0</v>
      </c>
      <c r="AD20" s="18">
        <v>1</v>
      </c>
      <c r="AE20" s="18">
        <v>0</v>
      </c>
      <c r="AN20" s="3">
        <v>3</v>
      </c>
      <c r="AO20" s="3">
        <v>5</v>
      </c>
      <c r="AP20" s="3">
        <v>4</v>
      </c>
      <c r="AR20" s="2" t="s">
        <v>645</v>
      </c>
    </row>
    <row r="21" spans="1:44" ht="12.75" customHeight="1">
      <c r="A21" s="4">
        <f>DATE(53,5,12)</f>
        <v>19491</v>
      </c>
      <c r="B21" s="2" t="s">
        <v>152</v>
      </c>
      <c r="C21" s="2" t="s">
        <v>168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3</v>
      </c>
      <c r="T21" s="3">
        <f t="shared" si="0"/>
        <v>3</v>
      </c>
      <c r="U21" s="3">
        <v>9</v>
      </c>
      <c r="V21" s="3">
        <v>5</v>
      </c>
      <c r="X21" s="2" t="s">
        <v>641</v>
      </c>
      <c r="Y21" s="18">
        <v>1</v>
      </c>
      <c r="Z21" s="18">
        <v>2</v>
      </c>
      <c r="AA21" s="18">
        <v>0</v>
      </c>
      <c r="AB21" s="18">
        <v>0</v>
      </c>
      <c r="AC21" s="18">
        <v>0</v>
      </c>
      <c r="AD21" s="18">
        <v>2</v>
      </c>
      <c r="AE21" s="18" t="s">
        <v>162</v>
      </c>
      <c r="AN21" s="3">
        <v>5</v>
      </c>
      <c r="AO21" s="3">
        <v>7</v>
      </c>
      <c r="AP21" s="3">
        <v>0</v>
      </c>
      <c r="AR21" s="2" t="s">
        <v>651</v>
      </c>
    </row>
    <row r="22" spans="1:44" ht="12.75" customHeight="1">
      <c r="A22" s="4">
        <f>DATE(54,4,29)</f>
        <v>19843</v>
      </c>
      <c r="C22" s="2" t="s">
        <v>168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T22" s="3">
        <v>0</v>
      </c>
      <c r="U22" s="3">
        <v>4</v>
      </c>
      <c r="V22" s="3">
        <v>6</v>
      </c>
      <c r="X22" s="2" t="s">
        <v>659</v>
      </c>
      <c r="Y22" s="18">
        <v>0</v>
      </c>
      <c r="Z22" s="18">
        <v>0</v>
      </c>
      <c r="AA22" s="18">
        <v>1</v>
      </c>
      <c r="AB22" s="18">
        <v>2</v>
      </c>
      <c r="AC22" s="18">
        <v>2</v>
      </c>
      <c r="AD22" s="18">
        <v>0</v>
      </c>
      <c r="AE22" s="18">
        <v>1</v>
      </c>
      <c r="AN22" s="3">
        <v>6</v>
      </c>
      <c r="AO22" s="3">
        <v>10</v>
      </c>
      <c r="AP22" s="3">
        <v>0</v>
      </c>
      <c r="AR22" s="2" t="s">
        <v>660</v>
      </c>
    </row>
    <row r="23" spans="1:44" ht="12.75" customHeight="1">
      <c r="A23" s="4">
        <f>DATE(54,5,11)</f>
        <v>19855</v>
      </c>
      <c r="B23" s="2" t="s">
        <v>152</v>
      </c>
      <c r="C23" s="2" t="s">
        <v>168</v>
      </c>
      <c r="E23" s="18">
        <v>4</v>
      </c>
      <c r="F23" s="18">
        <v>0</v>
      </c>
      <c r="G23" s="18">
        <v>0</v>
      </c>
      <c r="H23" s="18">
        <v>0</v>
      </c>
      <c r="I23" s="18">
        <v>0</v>
      </c>
      <c r="J23" s="18">
        <v>1</v>
      </c>
      <c r="K23" s="18">
        <v>0</v>
      </c>
      <c r="L23" s="18">
        <v>0</v>
      </c>
      <c r="T23" s="3">
        <v>5</v>
      </c>
      <c r="U23" s="3">
        <v>6</v>
      </c>
      <c r="V23" s="3">
        <v>3</v>
      </c>
      <c r="X23" s="2" t="s">
        <v>6</v>
      </c>
      <c r="Y23" s="18">
        <v>0</v>
      </c>
      <c r="Z23" s="18">
        <v>1</v>
      </c>
      <c r="AA23" s="18">
        <v>1</v>
      </c>
      <c r="AB23" s="18">
        <v>1</v>
      </c>
      <c r="AC23" s="18">
        <v>2</v>
      </c>
      <c r="AD23" s="18">
        <v>0</v>
      </c>
      <c r="AE23" s="18">
        <v>0</v>
      </c>
      <c r="AF23" s="18">
        <v>0</v>
      </c>
      <c r="AN23" s="3">
        <v>5</v>
      </c>
      <c r="AO23" s="3">
        <v>7</v>
      </c>
      <c r="AP23" s="3">
        <v>2</v>
      </c>
      <c r="AR23" s="2" t="s">
        <v>7</v>
      </c>
    </row>
    <row r="24" spans="1:44" ht="12.75" customHeight="1">
      <c r="A24" s="4">
        <f>DATE(55,4,28)</f>
        <v>20207</v>
      </c>
      <c r="B24" s="2" t="s">
        <v>152</v>
      </c>
      <c r="C24" s="2" t="s">
        <v>168</v>
      </c>
      <c r="E24" s="18">
        <v>1</v>
      </c>
      <c r="F24" s="18">
        <v>0</v>
      </c>
      <c r="G24" s="18">
        <v>3</v>
      </c>
      <c r="H24" s="18">
        <v>0</v>
      </c>
      <c r="I24" s="18">
        <v>0</v>
      </c>
      <c r="J24" s="18">
        <v>0</v>
      </c>
      <c r="K24" s="18">
        <v>0</v>
      </c>
      <c r="T24" s="3">
        <v>4</v>
      </c>
      <c r="U24" s="3">
        <v>5</v>
      </c>
      <c r="V24" s="3">
        <v>5</v>
      </c>
      <c r="X24" s="2" t="s">
        <v>12</v>
      </c>
      <c r="Y24" s="18">
        <v>4</v>
      </c>
      <c r="Z24" s="18">
        <v>2</v>
      </c>
      <c r="AA24" s="18">
        <v>6</v>
      </c>
      <c r="AB24" s="18">
        <v>0</v>
      </c>
      <c r="AC24" s="18">
        <v>2</v>
      </c>
      <c r="AD24" s="18">
        <v>0</v>
      </c>
      <c r="AE24" s="18" t="s">
        <v>162</v>
      </c>
      <c r="AN24" s="3">
        <v>14</v>
      </c>
      <c r="AO24" s="3">
        <v>6</v>
      </c>
      <c r="AP24" s="3">
        <v>0</v>
      </c>
      <c r="AR24" s="2" t="s">
        <v>668</v>
      </c>
    </row>
    <row r="25" spans="1:44" ht="12.75" customHeight="1">
      <c r="A25" s="4">
        <f>DATE(55,5,10)</f>
        <v>20219</v>
      </c>
      <c r="C25" s="2" t="s">
        <v>168</v>
      </c>
      <c r="E25" s="18">
        <v>2</v>
      </c>
      <c r="F25" s="18">
        <v>1</v>
      </c>
      <c r="G25" s="18">
        <v>3</v>
      </c>
      <c r="H25" s="18">
        <v>0</v>
      </c>
      <c r="I25" s="18">
        <v>0</v>
      </c>
      <c r="J25" s="18">
        <v>1</v>
      </c>
      <c r="K25" s="18" t="s">
        <v>162</v>
      </c>
      <c r="T25" s="3">
        <v>7</v>
      </c>
      <c r="U25" s="3">
        <v>6</v>
      </c>
      <c r="V25" s="3">
        <v>3</v>
      </c>
      <c r="X25" s="2" t="s">
        <v>8</v>
      </c>
      <c r="Y25" s="18">
        <v>0</v>
      </c>
      <c r="Z25" s="18">
        <v>2</v>
      </c>
      <c r="AA25" s="18">
        <v>0</v>
      </c>
      <c r="AB25" s="18">
        <v>0</v>
      </c>
      <c r="AC25" s="18">
        <v>0</v>
      </c>
      <c r="AD25" s="18">
        <v>1</v>
      </c>
      <c r="AE25" s="18">
        <v>1</v>
      </c>
      <c r="AN25" s="3">
        <v>4</v>
      </c>
      <c r="AO25" s="3">
        <v>5</v>
      </c>
      <c r="AP25" s="3">
        <v>0</v>
      </c>
      <c r="AR25" s="2" t="s">
        <v>15</v>
      </c>
    </row>
    <row r="26" spans="1:44" ht="12.75" customHeight="1">
      <c r="A26" s="4">
        <f>DATE(56,5,8)</f>
        <v>20583</v>
      </c>
      <c r="B26" s="2" t="s">
        <v>152</v>
      </c>
      <c r="C26" s="2" t="s">
        <v>168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T26" s="3">
        <v>0</v>
      </c>
      <c r="U26" s="3">
        <v>4</v>
      </c>
      <c r="V26" s="3">
        <v>4</v>
      </c>
      <c r="X26" s="2" t="s">
        <v>680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1</v>
      </c>
      <c r="AN26" s="3">
        <v>1</v>
      </c>
      <c r="AO26" s="3">
        <v>3</v>
      </c>
      <c r="AP26" s="3">
        <v>2</v>
      </c>
      <c r="AR26" s="2" t="s">
        <v>681</v>
      </c>
    </row>
    <row r="27" spans="1:44" ht="12.75" customHeight="1">
      <c r="A27" s="4">
        <f>DATE(56,5,8)</f>
        <v>20583</v>
      </c>
      <c r="B27" s="2" t="s">
        <v>152</v>
      </c>
      <c r="C27" s="2" t="s">
        <v>168</v>
      </c>
      <c r="E27" s="18">
        <v>6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T27" s="3">
        <v>6</v>
      </c>
      <c r="U27" s="3">
        <v>9</v>
      </c>
      <c r="V27" s="3">
        <v>4</v>
      </c>
      <c r="X27" s="2" t="s">
        <v>682</v>
      </c>
      <c r="Y27" s="18">
        <v>2</v>
      </c>
      <c r="Z27" s="18">
        <v>7</v>
      </c>
      <c r="AA27" s="18">
        <v>0</v>
      </c>
      <c r="AB27" s="18">
        <v>3</v>
      </c>
      <c r="AC27" s="18">
        <v>0</v>
      </c>
      <c r="AD27" s="18">
        <v>1</v>
      </c>
      <c r="AE27" s="18" t="s">
        <v>162</v>
      </c>
      <c r="AN27" s="3">
        <v>13</v>
      </c>
      <c r="AO27" s="3">
        <v>9</v>
      </c>
      <c r="AP27" s="3">
        <v>2</v>
      </c>
      <c r="AR27" s="2" t="s">
        <v>222</v>
      </c>
    </row>
    <row r="28" spans="1:44" ht="12.75" customHeight="1">
      <c r="A28" s="4">
        <f>DATE(57,4,23)</f>
        <v>20933</v>
      </c>
      <c r="B28" s="2" t="s">
        <v>152</v>
      </c>
      <c r="C28" s="2" t="s">
        <v>168</v>
      </c>
      <c r="E28" s="18">
        <v>0</v>
      </c>
      <c r="F28" s="18">
        <v>0</v>
      </c>
      <c r="G28" s="18">
        <v>0</v>
      </c>
      <c r="H28" s="18">
        <v>1</v>
      </c>
      <c r="I28" s="18">
        <v>0</v>
      </c>
      <c r="J28" s="18">
        <v>1</v>
      </c>
      <c r="K28" s="18">
        <v>0</v>
      </c>
      <c r="T28" s="3">
        <v>2</v>
      </c>
      <c r="U28" s="3">
        <v>3</v>
      </c>
      <c r="V28" s="3">
        <v>1</v>
      </c>
      <c r="X28" s="2" t="s">
        <v>674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N28" s="3">
        <v>0</v>
      </c>
      <c r="AO28" s="3">
        <v>3</v>
      </c>
      <c r="AP28" s="3">
        <v>1</v>
      </c>
      <c r="AR28" s="2" t="s">
        <v>227</v>
      </c>
    </row>
    <row r="29" spans="1:44" ht="12.75" customHeight="1">
      <c r="A29" s="4">
        <f>DATE(57,5,7)</f>
        <v>20947</v>
      </c>
      <c r="C29" s="2" t="s">
        <v>168</v>
      </c>
      <c r="E29" s="18">
        <v>0</v>
      </c>
      <c r="F29" s="18">
        <v>0</v>
      </c>
      <c r="G29" s="18">
        <v>2</v>
      </c>
      <c r="H29" s="18">
        <v>2</v>
      </c>
      <c r="I29" s="18">
        <v>0</v>
      </c>
      <c r="J29" s="18">
        <v>0</v>
      </c>
      <c r="K29" s="18" t="s">
        <v>162</v>
      </c>
      <c r="T29" s="3">
        <v>4</v>
      </c>
      <c r="U29" s="3">
        <v>6</v>
      </c>
      <c r="V29" s="3">
        <v>0</v>
      </c>
      <c r="X29" s="2" t="s">
        <v>672</v>
      </c>
      <c r="Y29" s="18">
        <v>1</v>
      </c>
      <c r="Z29" s="18">
        <v>0</v>
      </c>
      <c r="AA29" s="18">
        <v>1</v>
      </c>
      <c r="AB29" s="18">
        <v>0</v>
      </c>
      <c r="AC29" s="18">
        <v>0</v>
      </c>
      <c r="AD29" s="18">
        <v>0</v>
      </c>
      <c r="AE29" s="18">
        <v>0</v>
      </c>
      <c r="AN29" s="3">
        <v>2</v>
      </c>
      <c r="AO29" s="3">
        <v>6</v>
      </c>
      <c r="AP29" s="3">
        <v>1</v>
      </c>
      <c r="AR29" s="2" t="s">
        <v>227</v>
      </c>
    </row>
    <row r="30" spans="1:44" ht="12.75" customHeight="1">
      <c r="A30" s="4">
        <f>DATE(58,5,12)</f>
        <v>21317</v>
      </c>
      <c r="C30" s="2" t="s">
        <v>168</v>
      </c>
      <c r="E30" s="18">
        <v>0</v>
      </c>
      <c r="F30" s="18">
        <v>1</v>
      </c>
      <c r="G30" s="18">
        <v>0</v>
      </c>
      <c r="H30" s="18">
        <v>0</v>
      </c>
      <c r="I30" s="18">
        <v>1</v>
      </c>
      <c r="J30" s="18">
        <v>0</v>
      </c>
      <c r="K30" s="18">
        <v>4</v>
      </c>
      <c r="T30" s="3">
        <v>6</v>
      </c>
      <c r="U30" s="3">
        <v>6</v>
      </c>
      <c r="V30" s="3">
        <v>1</v>
      </c>
      <c r="X30" s="2" t="s">
        <v>704</v>
      </c>
      <c r="Y30" s="18">
        <v>0</v>
      </c>
      <c r="Z30" s="18">
        <v>0</v>
      </c>
      <c r="AA30" s="18">
        <v>2</v>
      </c>
      <c r="AB30" s="18">
        <v>0</v>
      </c>
      <c r="AC30" s="18">
        <v>0</v>
      </c>
      <c r="AD30" s="18">
        <v>2</v>
      </c>
      <c r="AE30" s="18">
        <v>7</v>
      </c>
      <c r="AN30" s="3">
        <v>11</v>
      </c>
      <c r="AO30" s="3">
        <v>13</v>
      </c>
      <c r="AP30" s="3">
        <v>2</v>
      </c>
      <c r="AR30" s="2" t="s">
        <v>234</v>
      </c>
    </row>
    <row r="31" spans="1:44" ht="12.75" customHeight="1">
      <c r="A31" s="4">
        <f>DATE(59,4,21)</f>
        <v>21661</v>
      </c>
      <c r="B31" s="2" t="s">
        <v>152</v>
      </c>
      <c r="C31" s="2" t="s">
        <v>168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T31" s="3">
        <v>0</v>
      </c>
      <c r="U31" s="3">
        <v>3</v>
      </c>
      <c r="V31" s="3">
        <v>0</v>
      </c>
      <c r="X31" s="2" t="s">
        <v>706</v>
      </c>
      <c r="Y31" s="18">
        <v>1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 t="s">
        <v>162</v>
      </c>
      <c r="AN31" s="3">
        <v>1</v>
      </c>
      <c r="AO31" s="3">
        <v>3</v>
      </c>
      <c r="AP31" s="3">
        <v>0</v>
      </c>
      <c r="AR31" s="2" t="s">
        <v>715</v>
      </c>
    </row>
    <row r="32" spans="1:44" ht="12.75" customHeight="1">
      <c r="A32" s="4">
        <f>DATE(59,5,5)</f>
        <v>21675</v>
      </c>
      <c r="C32" s="2" t="s">
        <v>168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T32" s="3">
        <v>0</v>
      </c>
      <c r="U32" s="3">
        <v>4</v>
      </c>
      <c r="V32" s="3">
        <v>3</v>
      </c>
      <c r="X32" s="2" t="s">
        <v>700</v>
      </c>
      <c r="Y32" s="18">
        <v>5</v>
      </c>
      <c r="Z32" s="18">
        <v>0</v>
      </c>
      <c r="AA32" s="18">
        <v>0</v>
      </c>
      <c r="AB32" s="18">
        <v>2</v>
      </c>
      <c r="AC32" s="18">
        <v>0</v>
      </c>
      <c r="AD32" s="18">
        <v>1</v>
      </c>
      <c r="AE32" s="18" t="s">
        <v>162</v>
      </c>
      <c r="AN32" s="3">
        <v>8</v>
      </c>
      <c r="AO32" s="3">
        <v>11</v>
      </c>
      <c r="AP32" s="3">
        <v>0</v>
      </c>
      <c r="AR32" s="2" t="s">
        <v>715</v>
      </c>
    </row>
    <row r="33" spans="1:44" ht="12.75" customHeight="1">
      <c r="A33" s="4">
        <f>DATE(66,6,2)</f>
        <v>24260</v>
      </c>
      <c r="B33" s="2" t="s">
        <v>239</v>
      </c>
      <c r="C33" s="2" t="s">
        <v>168</v>
      </c>
      <c r="D33" s="2" t="s">
        <v>243</v>
      </c>
      <c r="E33" s="18">
        <v>1</v>
      </c>
      <c r="F33" s="18">
        <v>0</v>
      </c>
      <c r="G33" s="18">
        <v>0</v>
      </c>
      <c r="H33" s="18">
        <v>0</v>
      </c>
      <c r="I33" s="18">
        <v>3</v>
      </c>
      <c r="J33" s="18">
        <v>0</v>
      </c>
      <c r="K33" s="18">
        <v>0</v>
      </c>
      <c r="L33" s="18">
        <v>0</v>
      </c>
      <c r="T33" s="3">
        <v>4</v>
      </c>
      <c r="U33" s="3">
        <v>6</v>
      </c>
      <c r="V33" s="3">
        <v>1</v>
      </c>
      <c r="X33" s="2" t="s">
        <v>877</v>
      </c>
      <c r="Y33" s="18">
        <v>0</v>
      </c>
      <c r="Z33" s="18">
        <v>0</v>
      </c>
      <c r="AA33" s="18">
        <v>0</v>
      </c>
      <c r="AB33" s="18">
        <v>0</v>
      </c>
      <c r="AC33" s="18">
        <v>4</v>
      </c>
      <c r="AD33" s="18">
        <v>0</v>
      </c>
      <c r="AE33" s="18">
        <v>0</v>
      </c>
      <c r="AF33" s="18">
        <v>1</v>
      </c>
      <c r="AN33" s="3">
        <v>5</v>
      </c>
      <c r="AO33" s="3">
        <v>7</v>
      </c>
      <c r="AP33" s="3">
        <v>3</v>
      </c>
      <c r="AR33" s="2" t="s">
        <v>2407</v>
      </c>
    </row>
    <row r="34" spans="1:44" ht="12.75" customHeight="1">
      <c r="A34" s="4">
        <f>DATE(78,6,10)</f>
        <v>28651</v>
      </c>
      <c r="B34" s="2" t="s">
        <v>152</v>
      </c>
      <c r="C34" s="2" t="s">
        <v>168</v>
      </c>
      <c r="E34" s="18">
        <v>1</v>
      </c>
      <c r="F34" s="18">
        <v>0</v>
      </c>
      <c r="G34" s="18">
        <v>1</v>
      </c>
      <c r="H34" s="18">
        <v>0</v>
      </c>
      <c r="I34" s="18">
        <v>2</v>
      </c>
      <c r="J34" s="18">
        <v>1</v>
      </c>
      <c r="K34" s="18">
        <v>1</v>
      </c>
      <c r="T34" s="3">
        <v>6</v>
      </c>
      <c r="U34" s="3">
        <v>7</v>
      </c>
      <c r="V34" s="3">
        <v>1</v>
      </c>
      <c r="X34" s="2" t="s">
        <v>1070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2</v>
      </c>
      <c r="AN34" s="3">
        <v>2</v>
      </c>
      <c r="AO34" s="3">
        <v>5</v>
      </c>
      <c r="AP34" s="3">
        <v>2</v>
      </c>
      <c r="AR34" s="2" t="s">
        <v>270</v>
      </c>
    </row>
    <row r="35" spans="1:44" ht="12.75" customHeight="1">
      <c r="A35" s="4">
        <f>DATE(78,6,10)</f>
        <v>28651</v>
      </c>
      <c r="B35" s="2" t="s">
        <v>152</v>
      </c>
      <c r="C35" s="2" t="s">
        <v>168</v>
      </c>
      <c r="E35" s="18">
        <v>1</v>
      </c>
      <c r="F35" s="18">
        <v>4</v>
      </c>
      <c r="G35" s="18">
        <v>3</v>
      </c>
      <c r="H35" s="18">
        <v>5</v>
      </c>
      <c r="I35" s="18">
        <v>1</v>
      </c>
      <c r="J35" s="18">
        <v>0</v>
      </c>
      <c r="T35" s="3">
        <v>14</v>
      </c>
      <c r="U35" s="3">
        <v>13</v>
      </c>
      <c r="V35" s="3">
        <v>3</v>
      </c>
      <c r="X35" s="2" t="s">
        <v>1157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3</v>
      </c>
      <c r="AN35" s="3">
        <v>3</v>
      </c>
      <c r="AO35" s="3">
        <v>6</v>
      </c>
      <c r="AP35" s="3">
        <v>4</v>
      </c>
      <c r="AR35" s="2" t="s">
        <v>271</v>
      </c>
    </row>
    <row r="36" spans="1:44" ht="12.75" customHeight="1">
      <c r="A36" s="4">
        <f>DATE(79,6,2)</f>
        <v>29008</v>
      </c>
      <c r="C36" s="2" t="s">
        <v>168</v>
      </c>
      <c r="E36" s="18">
        <v>3</v>
      </c>
      <c r="F36" s="18">
        <v>1</v>
      </c>
      <c r="G36" s="18">
        <v>0</v>
      </c>
      <c r="H36" s="18">
        <v>1</v>
      </c>
      <c r="I36" s="18">
        <v>0</v>
      </c>
      <c r="J36" s="18">
        <v>2</v>
      </c>
      <c r="K36" s="18" t="s">
        <v>162</v>
      </c>
      <c r="T36" s="3">
        <v>7</v>
      </c>
      <c r="U36" s="3">
        <v>9</v>
      </c>
      <c r="V36" s="3">
        <v>1</v>
      </c>
      <c r="X36" s="2" t="s">
        <v>1225</v>
      </c>
      <c r="Y36" s="18">
        <v>0</v>
      </c>
      <c r="Z36" s="18">
        <v>0</v>
      </c>
      <c r="AA36" s="18">
        <v>2</v>
      </c>
      <c r="AB36" s="18">
        <v>1</v>
      </c>
      <c r="AC36" s="18">
        <v>3</v>
      </c>
      <c r="AD36" s="18">
        <v>0</v>
      </c>
      <c r="AE36" s="18">
        <v>0</v>
      </c>
      <c r="AN36" s="3">
        <v>6</v>
      </c>
      <c r="AO36" s="3">
        <v>9</v>
      </c>
      <c r="AP36" s="3">
        <v>3</v>
      </c>
      <c r="AR36" s="2" t="s">
        <v>1226</v>
      </c>
    </row>
    <row r="37" spans="1:44" ht="12.75" customHeight="1">
      <c r="A37" s="4">
        <f>DATE(80,5,10)</f>
        <v>29351</v>
      </c>
      <c r="C37" s="2" t="s">
        <v>168</v>
      </c>
      <c r="E37" s="18">
        <v>2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T37" s="3">
        <v>2</v>
      </c>
      <c r="U37" s="3">
        <v>4</v>
      </c>
      <c r="V37" s="3">
        <v>6</v>
      </c>
      <c r="X37" s="2" t="s">
        <v>1301</v>
      </c>
      <c r="Y37" s="18">
        <v>0</v>
      </c>
      <c r="Z37" s="18">
        <v>8</v>
      </c>
      <c r="AA37" s="18">
        <v>1</v>
      </c>
      <c r="AB37" s="18">
        <v>0</v>
      </c>
      <c r="AC37" s="18">
        <v>2</v>
      </c>
      <c r="AD37" s="18">
        <v>7</v>
      </c>
      <c r="AN37" s="3">
        <v>18</v>
      </c>
      <c r="AO37" s="3">
        <v>16</v>
      </c>
      <c r="AP37" s="3">
        <v>0</v>
      </c>
      <c r="AR37" s="2" t="s">
        <v>2373</v>
      </c>
    </row>
    <row r="38" spans="1:44" ht="12.75" customHeight="1">
      <c r="A38" s="5">
        <v>36265</v>
      </c>
      <c r="B38" s="2" t="s">
        <v>152</v>
      </c>
      <c r="C38" s="2" t="s">
        <v>168</v>
      </c>
      <c r="E38" s="18">
        <v>4</v>
      </c>
      <c r="F38" s="18">
        <v>3</v>
      </c>
      <c r="G38" s="18">
        <v>5</v>
      </c>
      <c r="H38" s="18">
        <v>6</v>
      </c>
      <c r="I38" s="18">
        <v>0</v>
      </c>
      <c r="T38" s="3">
        <f aca="true" t="shared" si="1" ref="T38:T54">SUM(E38:S38)</f>
        <v>18</v>
      </c>
      <c r="U38" s="3">
        <v>13</v>
      </c>
      <c r="V38" s="3">
        <v>1</v>
      </c>
      <c r="X38" s="2" t="s">
        <v>1996</v>
      </c>
      <c r="Y38" s="18">
        <v>0</v>
      </c>
      <c r="Z38" s="18">
        <v>3</v>
      </c>
      <c r="AA38" s="18">
        <v>0</v>
      </c>
      <c r="AB38" s="18">
        <v>1</v>
      </c>
      <c r="AC38" s="18">
        <v>0</v>
      </c>
      <c r="AN38" s="3">
        <f aca="true" t="shared" si="2" ref="AN38:AN54">SUM(Y38:AM38)</f>
        <v>4</v>
      </c>
      <c r="AO38" s="3">
        <v>8</v>
      </c>
      <c r="AP38" s="3">
        <v>3</v>
      </c>
      <c r="AR38" s="2" t="s">
        <v>612</v>
      </c>
    </row>
    <row r="39" spans="1:44" ht="12.75" customHeight="1">
      <c r="A39" s="4">
        <v>36629</v>
      </c>
      <c r="C39" s="2" t="s">
        <v>168</v>
      </c>
      <c r="E39" s="18">
        <v>1</v>
      </c>
      <c r="F39" s="18">
        <v>0</v>
      </c>
      <c r="G39" s="18">
        <v>0</v>
      </c>
      <c r="H39" s="18">
        <v>0</v>
      </c>
      <c r="I39" s="18">
        <v>0</v>
      </c>
      <c r="J39" s="18">
        <v>2</v>
      </c>
      <c r="K39" s="18">
        <v>1</v>
      </c>
      <c r="T39" s="3">
        <f t="shared" si="1"/>
        <v>4</v>
      </c>
      <c r="U39" s="3">
        <v>10</v>
      </c>
      <c r="V39" s="3">
        <v>3</v>
      </c>
      <c r="X39" s="2" t="s">
        <v>1913</v>
      </c>
      <c r="Y39" s="18">
        <v>0</v>
      </c>
      <c r="Z39" s="18">
        <v>2</v>
      </c>
      <c r="AA39" s="18">
        <v>0</v>
      </c>
      <c r="AB39" s="18">
        <v>0</v>
      </c>
      <c r="AC39" s="18">
        <v>0</v>
      </c>
      <c r="AD39" s="18">
        <v>0</v>
      </c>
      <c r="AE39" s="18">
        <v>1</v>
      </c>
      <c r="AN39" s="3">
        <f t="shared" si="2"/>
        <v>3</v>
      </c>
      <c r="AO39" s="3">
        <v>5</v>
      </c>
      <c r="AP39" s="3">
        <v>2</v>
      </c>
      <c r="AR39" s="2" t="s">
        <v>1919</v>
      </c>
    </row>
    <row r="40" spans="1:44" ht="12.75" customHeight="1">
      <c r="A40" s="5">
        <v>36999</v>
      </c>
      <c r="B40" s="2" t="s">
        <v>152</v>
      </c>
      <c r="C40" s="2" t="s">
        <v>168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3</v>
      </c>
      <c r="K40" s="18">
        <v>0</v>
      </c>
      <c r="T40" s="3">
        <f t="shared" si="1"/>
        <v>3</v>
      </c>
      <c r="U40" s="3">
        <v>6</v>
      </c>
      <c r="V40" s="3">
        <v>0</v>
      </c>
      <c r="X40" s="2" t="s">
        <v>101</v>
      </c>
      <c r="Y40" s="18">
        <v>0</v>
      </c>
      <c r="Z40" s="18">
        <v>0</v>
      </c>
      <c r="AA40" s="18">
        <v>0</v>
      </c>
      <c r="AB40" s="18">
        <v>2</v>
      </c>
      <c r="AC40" s="18">
        <v>0</v>
      </c>
      <c r="AD40" s="18">
        <v>0</v>
      </c>
      <c r="AE40" s="18">
        <v>2</v>
      </c>
      <c r="AN40" s="3">
        <f t="shared" si="2"/>
        <v>4</v>
      </c>
      <c r="AO40" s="3">
        <v>4</v>
      </c>
      <c r="AP40" s="3">
        <v>2</v>
      </c>
      <c r="AR40" s="2" t="s">
        <v>1919</v>
      </c>
    </row>
    <row r="41" spans="1:44" ht="12.75" customHeight="1">
      <c r="A41" s="8">
        <v>37357</v>
      </c>
      <c r="C41" s="2" t="s">
        <v>168</v>
      </c>
      <c r="E41" s="18">
        <v>0</v>
      </c>
      <c r="F41" s="18">
        <v>1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T41" s="3">
        <f t="shared" si="1"/>
        <v>1</v>
      </c>
      <c r="U41" s="3">
        <v>6</v>
      </c>
      <c r="V41" s="3">
        <v>2</v>
      </c>
      <c r="X41" s="2" t="s">
        <v>591</v>
      </c>
      <c r="Y41" s="18">
        <v>0</v>
      </c>
      <c r="Z41" s="18">
        <v>1</v>
      </c>
      <c r="AA41" s="18">
        <v>0</v>
      </c>
      <c r="AB41" s="18">
        <v>0</v>
      </c>
      <c r="AC41" s="18">
        <v>0</v>
      </c>
      <c r="AD41" s="18">
        <v>1</v>
      </c>
      <c r="AE41" s="18">
        <v>1</v>
      </c>
      <c r="AN41" s="3">
        <f t="shared" si="2"/>
        <v>3</v>
      </c>
      <c r="AO41" s="3">
        <v>5</v>
      </c>
      <c r="AP41" s="3">
        <v>0</v>
      </c>
      <c r="AR41" s="2" t="s">
        <v>1422</v>
      </c>
    </row>
    <row r="42" spans="1:44" ht="12.75" customHeight="1">
      <c r="A42" s="8">
        <v>37725</v>
      </c>
      <c r="B42" s="2" t="s">
        <v>152</v>
      </c>
      <c r="C42" s="2" t="s">
        <v>168</v>
      </c>
      <c r="E42" s="18">
        <v>1</v>
      </c>
      <c r="F42" s="18">
        <v>0</v>
      </c>
      <c r="G42" s="18">
        <v>0</v>
      </c>
      <c r="H42" s="18">
        <v>1</v>
      </c>
      <c r="I42" s="18">
        <v>1</v>
      </c>
      <c r="J42" s="18">
        <v>0</v>
      </c>
      <c r="K42" s="18">
        <v>0</v>
      </c>
      <c r="L42" s="18">
        <v>0</v>
      </c>
      <c r="M42" s="18">
        <v>2</v>
      </c>
      <c r="T42" s="3">
        <f t="shared" si="1"/>
        <v>5</v>
      </c>
      <c r="U42" s="3">
        <v>9</v>
      </c>
      <c r="V42" s="3">
        <v>6</v>
      </c>
      <c r="X42" s="2" t="s">
        <v>572</v>
      </c>
      <c r="Y42" s="18">
        <v>0</v>
      </c>
      <c r="Z42" s="18">
        <v>2</v>
      </c>
      <c r="AA42" s="18">
        <v>0</v>
      </c>
      <c r="AB42" s="18">
        <v>1</v>
      </c>
      <c r="AC42" s="18">
        <v>0</v>
      </c>
      <c r="AD42" s="18">
        <v>0</v>
      </c>
      <c r="AE42" s="18">
        <v>0</v>
      </c>
      <c r="AF42" s="18">
        <v>0</v>
      </c>
      <c r="AG42" s="18">
        <v>1</v>
      </c>
      <c r="AN42" s="3">
        <f t="shared" si="2"/>
        <v>4</v>
      </c>
      <c r="AO42" s="3">
        <v>6</v>
      </c>
      <c r="AP42" s="3">
        <v>1</v>
      </c>
      <c r="AR42" s="2" t="s">
        <v>573</v>
      </c>
    </row>
    <row r="43" spans="1:44" ht="12.75" customHeight="1">
      <c r="A43" s="5">
        <v>38105</v>
      </c>
      <c r="C43" s="2" t="s">
        <v>168</v>
      </c>
      <c r="E43" s="18">
        <v>2</v>
      </c>
      <c r="F43" s="18">
        <v>4</v>
      </c>
      <c r="G43" s="18">
        <v>0</v>
      </c>
      <c r="H43" s="18">
        <v>2</v>
      </c>
      <c r="I43" s="18">
        <v>5</v>
      </c>
      <c r="J43" s="18">
        <v>0</v>
      </c>
      <c r="K43" s="18" t="s">
        <v>162</v>
      </c>
      <c r="T43" s="3">
        <f t="shared" si="1"/>
        <v>13</v>
      </c>
      <c r="U43" s="3">
        <v>12</v>
      </c>
      <c r="V43" s="3">
        <v>3</v>
      </c>
      <c r="X43" s="2" t="s">
        <v>524</v>
      </c>
      <c r="Y43" s="18">
        <v>0</v>
      </c>
      <c r="Z43" s="18">
        <v>3</v>
      </c>
      <c r="AA43" s="18">
        <v>4</v>
      </c>
      <c r="AB43" s="18">
        <v>0</v>
      </c>
      <c r="AC43" s="18">
        <v>0</v>
      </c>
      <c r="AD43" s="18">
        <v>0</v>
      </c>
      <c r="AE43" s="18">
        <v>0</v>
      </c>
      <c r="AN43" s="3">
        <f t="shared" si="2"/>
        <v>7</v>
      </c>
      <c r="AO43" s="3">
        <v>8</v>
      </c>
      <c r="AP43" s="3">
        <v>5</v>
      </c>
      <c r="AR43" s="2" t="s">
        <v>525</v>
      </c>
    </row>
    <row r="44" spans="1:44" ht="12.75" customHeight="1">
      <c r="A44" s="5">
        <f>DATE(2005,4,5)</f>
        <v>38447</v>
      </c>
      <c r="B44" s="2" t="s">
        <v>152</v>
      </c>
      <c r="C44" s="2" t="s">
        <v>168</v>
      </c>
      <c r="E44" s="18">
        <v>1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T44" s="3">
        <f t="shared" si="1"/>
        <v>2</v>
      </c>
      <c r="U44" s="3">
        <v>7</v>
      </c>
      <c r="V44" s="3">
        <v>2</v>
      </c>
      <c r="X44" s="2" t="s">
        <v>534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3</v>
      </c>
      <c r="AN44" s="3">
        <f t="shared" si="2"/>
        <v>3</v>
      </c>
      <c r="AO44" s="3">
        <v>8</v>
      </c>
      <c r="AP44" s="3">
        <v>1</v>
      </c>
      <c r="AR44" s="2" t="s">
        <v>535</v>
      </c>
    </row>
    <row r="45" spans="1:44" ht="12.75" customHeight="1">
      <c r="A45" s="5">
        <v>38813</v>
      </c>
      <c r="C45" s="2" t="s">
        <v>168</v>
      </c>
      <c r="E45" s="18">
        <v>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T45" s="3">
        <f t="shared" si="1"/>
        <v>1</v>
      </c>
      <c r="U45" s="3">
        <v>4</v>
      </c>
      <c r="V45" s="3">
        <v>5</v>
      </c>
      <c r="X45" s="2" t="s">
        <v>210</v>
      </c>
      <c r="Y45" s="18">
        <v>2</v>
      </c>
      <c r="Z45" s="18">
        <v>2</v>
      </c>
      <c r="AA45" s="18">
        <v>0</v>
      </c>
      <c r="AB45" s="18">
        <v>0</v>
      </c>
      <c r="AC45" s="18">
        <v>0</v>
      </c>
      <c r="AD45" s="18">
        <v>2</v>
      </c>
      <c r="AE45" s="18">
        <v>1</v>
      </c>
      <c r="AN45" s="3">
        <f t="shared" si="2"/>
        <v>7</v>
      </c>
      <c r="AO45" s="3">
        <v>6</v>
      </c>
      <c r="AP45" s="3">
        <v>1</v>
      </c>
      <c r="AR45" s="2" t="s">
        <v>215</v>
      </c>
    </row>
    <row r="46" spans="1:44" ht="12.75" customHeight="1">
      <c r="A46" s="5">
        <v>39175</v>
      </c>
      <c r="B46" s="2" t="s">
        <v>152</v>
      </c>
      <c r="C46" s="2" t="s">
        <v>168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1</v>
      </c>
      <c r="K46" s="18">
        <v>0</v>
      </c>
      <c r="L46" s="18">
        <v>0</v>
      </c>
      <c r="T46" s="3">
        <f t="shared" si="1"/>
        <v>1</v>
      </c>
      <c r="U46" s="3">
        <v>8</v>
      </c>
      <c r="V46" s="3">
        <v>1</v>
      </c>
      <c r="X46" s="2" t="s">
        <v>466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1</v>
      </c>
      <c r="AE46" s="18">
        <v>0</v>
      </c>
      <c r="AF46" s="18">
        <v>1</v>
      </c>
      <c r="AN46" s="3">
        <f t="shared" si="2"/>
        <v>2</v>
      </c>
      <c r="AO46" s="3">
        <v>7</v>
      </c>
      <c r="AP46" s="3">
        <v>0</v>
      </c>
      <c r="AR46" s="2" t="s">
        <v>495</v>
      </c>
    </row>
    <row r="47" spans="1:44" ht="12.75" customHeight="1">
      <c r="A47" s="5">
        <v>39583</v>
      </c>
      <c r="C47" s="2" t="s">
        <v>168</v>
      </c>
      <c r="E47" s="18">
        <v>0</v>
      </c>
      <c r="F47" s="18">
        <v>0</v>
      </c>
      <c r="G47" s="18">
        <v>5</v>
      </c>
      <c r="H47" s="18">
        <v>0</v>
      </c>
      <c r="I47" s="18">
        <v>0</v>
      </c>
      <c r="J47" s="18">
        <v>0</v>
      </c>
      <c r="K47" s="18" t="s">
        <v>162</v>
      </c>
      <c r="T47" s="3">
        <f t="shared" si="1"/>
        <v>5</v>
      </c>
      <c r="U47" s="3">
        <v>3</v>
      </c>
      <c r="V47" s="3">
        <v>6</v>
      </c>
      <c r="X47" s="2" t="s">
        <v>477</v>
      </c>
      <c r="Y47" s="18">
        <v>0</v>
      </c>
      <c r="Z47" s="18">
        <v>0</v>
      </c>
      <c r="AA47" s="18">
        <v>1</v>
      </c>
      <c r="AB47" s="18">
        <v>2</v>
      </c>
      <c r="AC47" s="18">
        <v>1</v>
      </c>
      <c r="AD47" s="18">
        <v>0</v>
      </c>
      <c r="AE47" s="18">
        <v>0</v>
      </c>
      <c r="AN47" s="3">
        <f t="shared" si="2"/>
        <v>4</v>
      </c>
      <c r="AO47" s="3">
        <v>6</v>
      </c>
      <c r="AP47" s="3">
        <v>2</v>
      </c>
      <c r="AR47" s="2" t="s">
        <v>1380</v>
      </c>
    </row>
    <row r="48" spans="1:44" ht="12.75" customHeight="1">
      <c r="A48" s="5">
        <v>39916</v>
      </c>
      <c r="B48" s="2" t="s">
        <v>152</v>
      </c>
      <c r="C48" s="2" t="s">
        <v>168</v>
      </c>
      <c r="E48" s="18">
        <v>0</v>
      </c>
      <c r="F48" s="18">
        <v>1</v>
      </c>
      <c r="G48" s="18">
        <v>0</v>
      </c>
      <c r="H48" s="18">
        <v>3</v>
      </c>
      <c r="I48" s="18">
        <v>0</v>
      </c>
      <c r="J48" s="18">
        <v>1</v>
      </c>
      <c r="K48" s="18">
        <v>2</v>
      </c>
      <c r="T48" s="3">
        <f t="shared" si="1"/>
        <v>7</v>
      </c>
      <c r="U48" s="3">
        <v>10</v>
      </c>
      <c r="V48" s="3">
        <v>1</v>
      </c>
      <c r="X48" s="2" t="s">
        <v>128</v>
      </c>
      <c r="Y48" s="18">
        <v>0</v>
      </c>
      <c r="Z48" s="18">
        <v>0</v>
      </c>
      <c r="AA48" s="18">
        <v>3</v>
      </c>
      <c r="AB48" s="18">
        <v>0</v>
      </c>
      <c r="AC48" s="18">
        <v>0</v>
      </c>
      <c r="AD48" s="18">
        <v>4</v>
      </c>
      <c r="AE48" s="18">
        <v>1</v>
      </c>
      <c r="AN48" s="3">
        <f t="shared" si="2"/>
        <v>8</v>
      </c>
      <c r="AO48" s="3">
        <v>12</v>
      </c>
      <c r="AP48" s="3">
        <v>0</v>
      </c>
      <c r="AR48" s="2" t="s">
        <v>129</v>
      </c>
    </row>
    <row r="49" spans="1:44" ht="12.75" customHeight="1">
      <c r="A49" s="5">
        <v>39948</v>
      </c>
      <c r="C49" s="2" t="s">
        <v>168</v>
      </c>
      <c r="E49" s="18">
        <v>2</v>
      </c>
      <c r="F49" s="18">
        <v>0</v>
      </c>
      <c r="G49" s="18">
        <v>1</v>
      </c>
      <c r="H49" s="18">
        <v>0</v>
      </c>
      <c r="I49" s="18">
        <v>0</v>
      </c>
      <c r="T49" s="3">
        <f t="shared" si="1"/>
        <v>3</v>
      </c>
      <c r="U49" s="3">
        <v>4</v>
      </c>
      <c r="V49" s="3">
        <v>2</v>
      </c>
      <c r="X49" s="2" t="s">
        <v>1472</v>
      </c>
      <c r="Y49" s="18">
        <v>1</v>
      </c>
      <c r="Z49" s="18">
        <v>1</v>
      </c>
      <c r="AA49" s="18">
        <v>2</v>
      </c>
      <c r="AB49" s="18">
        <v>2</v>
      </c>
      <c r="AC49" s="18">
        <v>8</v>
      </c>
      <c r="AN49" s="3">
        <f t="shared" si="2"/>
        <v>14</v>
      </c>
      <c r="AO49" s="3">
        <v>17</v>
      </c>
      <c r="AP49" s="3">
        <v>3</v>
      </c>
      <c r="AR49" s="2" t="s">
        <v>860</v>
      </c>
    </row>
    <row r="50" spans="1:44" ht="12.75" customHeight="1">
      <c r="A50" s="5">
        <v>40286</v>
      </c>
      <c r="C50" s="2" t="s">
        <v>168</v>
      </c>
      <c r="D50" s="2" t="s">
        <v>1743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1</v>
      </c>
      <c r="K50" s="18">
        <v>0</v>
      </c>
      <c r="T50" s="3">
        <f t="shared" si="1"/>
        <v>1</v>
      </c>
      <c r="U50" s="3">
        <v>4</v>
      </c>
      <c r="V50" s="3">
        <v>3</v>
      </c>
      <c r="X50" s="2" t="s">
        <v>773</v>
      </c>
      <c r="Y50" s="18">
        <v>0</v>
      </c>
      <c r="Z50" s="18">
        <v>1</v>
      </c>
      <c r="AA50" s="18">
        <v>1</v>
      </c>
      <c r="AB50" s="18">
        <v>2</v>
      </c>
      <c r="AC50" s="18">
        <v>0</v>
      </c>
      <c r="AD50" s="18">
        <v>4</v>
      </c>
      <c r="AE50" s="18" t="s">
        <v>162</v>
      </c>
      <c r="AN50" s="3">
        <f t="shared" si="2"/>
        <v>8</v>
      </c>
      <c r="AO50" s="3">
        <v>6</v>
      </c>
      <c r="AP50" s="3">
        <v>8</v>
      </c>
      <c r="AR50" s="2" t="s">
        <v>772</v>
      </c>
    </row>
    <row r="51" spans="1:44" ht="12.75" customHeight="1">
      <c r="A51" s="5">
        <v>40290</v>
      </c>
      <c r="C51" s="2" t="s">
        <v>168</v>
      </c>
      <c r="E51" s="18">
        <v>1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4</v>
      </c>
      <c r="T51" s="3">
        <f t="shared" si="1"/>
        <v>6</v>
      </c>
      <c r="U51" s="3">
        <v>6</v>
      </c>
      <c r="V51" s="3">
        <v>1</v>
      </c>
      <c r="X51" s="2" t="s">
        <v>779</v>
      </c>
      <c r="Y51" s="18">
        <v>1</v>
      </c>
      <c r="Z51" s="18">
        <v>0</v>
      </c>
      <c r="AA51" s="18">
        <v>6</v>
      </c>
      <c r="AB51" s="18">
        <v>0</v>
      </c>
      <c r="AC51" s="18">
        <v>0</v>
      </c>
      <c r="AD51" s="18">
        <v>1</v>
      </c>
      <c r="AE51" s="18">
        <v>3</v>
      </c>
      <c r="AN51" s="3">
        <f t="shared" si="2"/>
        <v>11</v>
      </c>
      <c r="AO51" s="3">
        <v>15</v>
      </c>
      <c r="AP51" s="3">
        <v>4</v>
      </c>
      <c r="AR51" s="2" t="s">
        <v>778</v>
      </c>
    </row>
    <row r="52" spans="1:44" ht="12.75" customHeight="1">
      <c r="A52" s="5">
        <v>40318</v>
      </c>
      <c r="B52" s="2" t="s">
        <v>152</v>
      </c>
      <c r="C52" s="2" t="s">
        <v>168</v>
      </c>
      <c r="E52" s="18">
        <v>1</v>
      </c>
      <c r="F52" s="18">
        <v>0</v>
      </c>
      <c r="G52" s="18">
        <v>0</v>
      </c>
      <c r="H52" s="18">
        <v>0</v>
      </c>
      <c r="I52" s="18">
        <v>0</v>
      </c>
      <c r="T52" s="3">
        <f t="shared" si="1"/>
        <v>1</v>
      </c>
      <c r="U52" s="3">
        <v>5</v>
      </c>
      <c r="V52" s="3">
        <v>1</v>
      </c>
      <c r="X52" s="2" t="s">
        <v>1956</v>
      </c>
      <c r="Y52" s="18">
        <v>5</v>
      </c>
      <c r="Z52" s="18">
        <v>0</v>
      </c>
      <c r="AA52" s="18">
        <v>0</v>
      </c>
      <c r="AB52" s="18">
        <v>5</v>
      </c>
      <c r="AC52" s="18">
        <v>1</v>
      </c>
      <c r="AN52" s="3">
        <f t="shared" si="2"/>
        <v>11</v>
      </c>
      <c r="AO52" s="3">
        <v>10</v>
      </c>
      <c r="AP52" s="3">
        <v>1</v>
      </c>
      <c r="AR52" s="2" t="s">
        <v>1957</v>
      </c>
    </row>
    <row r="53" spans="1:44" ht="12.75" customHeight="1">
      <c r="A53" s="5">
        <v>41740</v>
      </c>
      <c r="B53" s="2" t="s">
        <v>239</v>
      </c>
      <c r="C53" s="2" t="s">
        <v>168</v>
      </c>
      <c r="E53" s="18">
        <v>2</v>
      </c>
      <c r="F53" s="18">
        <v>0</v>
      </c>
      <c r="G53" s="18">
        <v>3</v>
      </c>
      <c r="H53" s="18">
        <v>0</v>
      </c>
      <c r="I53" s="18">
        <v>0</v>
      </c>
      <c r="J53" s="18">
        <v>2</v>
      </c>
      <c r="K53" s="18">
        <v>1</v>
      </c>
      <c r="T53" s="3">
        <f t="shared" si="1"/>
        <v>8</v>
      </c>
      <c r="U53" s="3">
        <v>9</v>
      </c>
      <c r="V53" s="3">
        <v>2</v>
      </c>
      <c r="X53" s="2" t="s">
        <v>2079</v>
      </c>
      <c r="Y53" s="18">
        <v>2</v>
      </c>
      <c r="Z53" s="18">
        <v>0</v>
      </c>
      <c r="AA53" s="18">
        <v>0</v>
      </c>
      <c r="AB53" s="18">
        <v>1</v>
      </c>
      <c r="AC53" s="18">
        <v>0</v>
      </c>
      <c r="AD53" s="18">
        <v>7</v>
      </c>
      <c r="AE53" s="18">
        <v>0</v>
      </c>
      <c r="AN53" s="3">
        <f t="shared" si="2"/>
        <v>10</v>
      </c>
      <c r="AO53" s="3">
        <v>10</v>
      </c>
      <c r="AP53" s="3">
        <v>3</v>
      </c>
      <c r="AR53" s="2" t="s">
        <v>2080</v>
      </c>
    </row>
    <row r="54" spans="1:44" ht="12.75" customHeight="1">
      <c r="A54" s="5">
        <v>42871</v>
      </c>
      <c r="B54" s="2" t="s">
        <v>152</v>
      </c>
      <c r="C54" s="2" t="s">
        <v>168</v>
      </c>
      <c r="E54" s="18">
        <v>0</v>
      </c>
      <c r="F54" s="18">
        <v>0</v>
      </c>
      <c r="G54" s="18">
        <v>2</v>
      </c>
      <c r="H54" s="18">
        <v>0</v>
      </c>
      <c r="I54" s="18">
        <v>1</v>
      </c>
      <c r="J54" s="18">
        <v>1</v>
      </c>
      <c r="K54" s="18">
        <v>0</v>
      </c>
      <c r="T54" s="3">
        <f t="shared" si="1"/>
        <v>4</v>
      </c>
      <c r="U54" s="3">
        <v>13</v>
      </c>
      <c r="V54" s="3">
        <v>0</v>
      </c>
      <c r="X54" s="2" t="s">
        <v>2178</v>
      </c>
      <c r="Y54" s="18">
        <v>1</v>
      </c>
      <c r="Z54" s="18">
        <v>0</v>
      </c>
      <c r="AA54" s="18">
        <v>2</v>
      </c>
      <c r="AB54" s="18">
        <v>0</v>
      </c>
      <c r="AC54" s="18">
        <v>0</v>
      </c>
      <c r="AD54" s="18">
        <v>1</v>
      </c>
      <c r="AE54" s="18">
        <v>1</v>
      </c>
      <c r="AN54" s="3">
        <f t="shared" si="2"/>
        <v>5</v>
      </c>
      <c r="AO54" s="3">
        <v>5</v>
      </c>
      <c r="AP54" s="3">
        <v>0</v>
      </c>
      <c r="AR54" s="2" t="s">
        <v>2179</v>
      </c>
    </row>
    <row r="55" spans="1:44" ht="12.75" customHeight="1">
      <c r="A55" s="4">
        <f>DATE(84,3,31)</f>
        <v>30772</v>
      </c>
      <c r="B55" s="2" t="s">
        <v>152</v>
      </c>
      <c r="C55" s="2" t="s">
        <v>1447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1</v>
      </c>
      <c r="T55" s="3">
        <v>1</v>
      </c>
      <c r="U55" s="3">
        <v>4</v>
      </c>
      <c r="V55" s="3">
        <v>2</v>
      </c>
      <c r="X55" s="2" t="s">
        <v>1448</v>
      </c>
      <c r="Y55" s="18">
        <v>3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 t="s">
        <v>162</v>
      </c>
      <c r="AN55" s="3">
        <v>3</v>
      </c>
      <c r="AO55" s="3">
        <v>5</v>
      </c>
      <c r="AP55" s="3">
        <v>1</v>
      </c>
      <c r="AR55" s="2" t="s">
        <v>1449</v>
      </c>
    </row>
    <row r="56" spans="1:44" ht="12.75" customHeight="1">
      <c r="A56" s="4">
        <f>DATE(70,6,4)</f>
        <v>25723</v>
      </c>
      <c r="B56" s="2" t="s">
        <v>239</v>
      </c>
      <c r="C56" s="2" t="s">
        <v>374</v>
      </c>
      <c r="D56" s="2" t="s">
        <v>243</v>
      </c>
      <c r="E56" s="18">
        <v>0</v>
      </c>
      <c r="F56" s="18">
        <v>0</v>
      </c>
      <c r="G56" s="18">
        <v>1</v>
      </c>
      <c r="H56" s="18">
        <v>0</v>
      </c>
      <c r="I56" s="18">
        <v>0</v>
      </c>
      <c r="J56" s="18">
        <v>0</v>
      </c>
      <c r="K56" s="18">
        <v>0</v>
      </c>
      <c r="T56" s="3">
        <v>1</v>
      </c>
      <c r="U56" s="3">
        <v>3</v>
      </c>
      <c r="V56" s="3">
        <v>0</v>
      </c>
      <c r="X56" s="2" t="s">
        <v>915</v>
      </c>
      <c r="Y56" s="18">
        <v>0</v>
      </c>
      <c r="Z56" s="18">
        <v>0</v>
      </c>
      <c r="AA56" s="18">
        <v>0</v>
      </c>
      <c r="AB56" s="18">
        <v>0</v>
      </c>
      <c r="AC56" s="18">
        <v>3</v>
      </c>
      <c r="AD56" s="18">
        <v>0</v>
      </c>
      <c r="AE56" s="18" t="s">
        <v>162</v>
      </c>
      <c r="AN56" s="3">
        <v>3</v>
      </c>
      <c r="AO56" s="3">
        <v>7</v>
      </c>
      <c r="AP56" s="3">
        <v>1</v>
      </c>
      <c r="AR56" s="2" t="s">
        <v>934</v>
      </c>
    </row>
    <row r="57" spans="1:44" ht="12.75" customHeight="1">
      <c r="A57" s="4">
        <f>DATE(72,4,18)</f>
        <v>26407</v>
      </c>
      <c r="B57" s="2" t="s">
        <v>152</v>
      </c>
      <c r="C57" s="2" t="s">
        <v>374</v>
      </c>
      <c r="E57" s="18">
        <v>0</v>
      </c>
      <c r="F57" s="18">
        <v>1</v>
      </c>
      <c r="G57" s="18">
        <v>8</v>
      </c>
      <c r="H57" s="18">
        <v>0</v>
      </c>
      <c r="I57" s="18">
        <v>0</v>
      </c>
      <c r="J57" s="18">
        <v>0</v>
      </c>
      <c r="K57" s="18">
        <v>0</v>
      </c>
      <c r="T57" s="3">
        <v>9</v>
      </c>
      <c r="U57" s="3">
        <v>6</v>
      </c>
      <c r="V57" s="3">
        <v>3</v>
      </c>
      <c r="X57" s="2" t="s">
        <v>971</v>
      </c>
      <c r="Y57" s="18">
        <v>0</v>
      </c>
      <c r="Z57" s="18">
        <v>1</v>
      </c>
      <c r="AA57" s="18">
        <v>3</v>
      </c>
      <c r="AB57" s="18">
        <v>0</v>
      </c>
      <c r="AC57" s="18">
        <v>1</v>
      </c>
      <c r="AD57" s="18">
        <v>0</v>
      </c>
      <c r="AE57" s="18">
        <v>0</v>
      </c>
      <c r="AN57" s="3">
        <v>5</v>
      </c>
      <c r="AO57" s="3">
        <v>7</v>
      </c>
      <c r="AP57" s="3">
        <v>2</v>
      </c>
      <c r="AR57" s="2" t="s">
        <v>972</v>
      </c>
    </row>
    <row r="58" spans="1:44" ht="12.75" customHeight="1">
      <c r="A58" s="4">
        <f>DATE(72,5,12)</f>
        <v>26431</v>
      </c>
      <c r="C58" s="2" t="s">
        <v>374</v>
      </c>
      <c r="E58" s="18">
        <v>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 t="s">
        <v>162</v>
      </c>
      <c r="T58" s="3">
        <v>2</v>
      </c>
      <c r="U58" s="3">
        <v>4</v>
      </c>
      <c r="V58" s="3">
        <v>3</v>
      </c>
      <c r="X58" s="2" t="s">
        <v>971</v>
      </c>
      <c r="Y58" s="18">
        <v>0</v>
      </c>
      <c r="Z58" s="18">
        <v>1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N58" s="3">
        <v>1</v>
      </c>
      <c r="AO58" s="3">
        <v>6</v>
      </c>
      <c r="AP58" s="3">
        <v>1</v>
      </c>
      <c r="AR58" s="2" t="s">
        <v>982</v>
      </c>
    </row>
    <row r="59" spans="1:44" ht="12.75" customHeight="1">
      <c r="A59" s="4">
        <f>DATE(73,4,19)</f>
        <v>26773</v>
      </c>
      <c r="B59" s="2" t="s">
        <v>152</v>
      </c>
      <c r="C59" s="2" t="s">
        <v>374</v>
      </c>
      <c r="E59" s="18">
        <v>1</v>
      </c>
      <c r="F59" s="18">
        <v>0</v>
      </c>
      <c r="G59" s="18">
        <v>2</v>
      </c>
      <c r="H59" s="18">
        <v>0</v>
      </c>
      <c r="I59" s="18">
        <v>0</v>
      </c>
      <c r="J59" s="18">
        <v>0</v>
      </c>
      <c r="K59" s="18">
        <v>0</v>
      </c>
      <c r="T59" s="3">
        <v>3</v>
      </c>
      <c r="U59" s="3">
        <v>4</v>
      </c>
      <c r="V59" s="3">
        <v>8</v>
      </c>
      <c r="X59" s="2" t="s">
        <v>999</v>
      </c>
      <c r="Y59" s="18">
        <v>2</v>
      </c>
      <c r="Z59" s="18">
        <v>0</v>
      </c>
      <c r="AA59" s="18">
        <v>0</v>
      </c>
      <c r="AB59" s="18">
        <v>3</v>
      </c>
      <c r="AC59" s="18">
        <v>0</v>
      </c>
      <c r="AD59" s="18">
        <v>2</v>
      </c>
      <c r="AE59" s="18" t="s">
        <v>162</v>
      </c>
      <c r="AN59" s="3">
        <v>7</v>
      </c>
      <c r="AO59" s="3">
        <v>6</v>
      </c>
      <c r="AP59" s="3">
        <v>3</v>
      </c>
      <c r="AR59" s="2" t="s">
        <v>1000</v>
      </c>
    </row>
    <row r="60" spans="1:44" ht="12.75" customHeight="1">
      <c r="A60" s="4">
        <f>DATE(73,5,15)</f>
        <v>26799</v>
      </c>
      <c r="C60" s="2" t="s">
        <v>374</v>
      </c>
      <c r="E60" s="18">
        <v>2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1</v>
      </c>
      <c r="T60" s="3">
        <v>3</v>
      </c>
      <c r="U60" s="3">
        <v>5</v>
      </c>
      <c r="V60" s="3">
        <v>4</v>
      </c>
      <c r="X60" s="2" t="s">
        <v>1007</v>
      </c>
      <c r="Y60" s="18">
        <v>0</v>
      </c>
      <c r="Z60" s="18">
        <v>0</v>
      </c>
      <c r="AA60" s="18">
        <v>0</v>
      </c>
      <c r="AB60" s="18">
        <v>1</v>
      </c>
      <c r="AC60" s="18">
        <v>0</v>
      </c>
      <c r="AD60" s="18">
        <v>0</v>
      </c>
      <c r="AE60" s="18">
        <v>4</v>
      </c>
      <c r="AN60" s="3">
        <v>5</v>
      </c>
      <c r="AO60" s="3">
        <v>8</v>
      </c>
      <c r="AP60" s="3">
        <v>4</v>
      </c>
      <c r="AR60" s="2" t="s">
        <v>1008</v>
      </c>
    </row>
    <row r="61" spans="1:44" ht="12.75" customHeight="1">
      <c r="A61" s="4">
        <f>DATE(74,4,26)</f>
        <v>27145</v>
      </c>
      <c r="B61" s="2" t="s">
        <v>152</v>
      </c>
      <c r="C61" s="2" t="s">
        <v>374</v>
      </c>
      <c r="E61" s="18">
        <v>3</v>
      </c>
      <c r="F61" s="18">
        <v>4</v>
      </c>
      <c r="G61" s="18">
        <v>1</v>
      </c>
      <c r="H61" s="18">
        <v>0</v>
      </c>
      <c r="I61" s="18">
        <v>0</v>
      </c>
      <c r="J61" s="18">
        <v>1</v>
      </c>
      <c r="K61" s="18">
        <v>2</v>
      </c>
      <c r="T61" s="3">
        <v>11</v>
      </c>
      <c r="U61" s="3">
        <v>16</v>
      </c>
      <c r="V61" s="3">
        <v>2</v>
      </c>
      <c r="X61" s="2" t="s">
        <v>1021</v>
      </c>
      <c r="Y61" s="18">
        <v>0</v>
      </c>
      <c r="Z61" s="18">
        <v>3</v>
      </c>
      <c r="AA61" s="18">
        <v>0</v>
      </c>
      <c r="AB61" s="18">
        <v>0</v>
      </c>
      <c r="AC61" s="18">
        <v>0</v>
      </c>
      <c r="AD61" s="18">
        <v>0</v>
      </c>
      <c r="AE61" s="18">
        <v>3</v>
      </c>
      <c r="AN61" s="3">
        <v>6</v>
      </c>
      <c r="AO61" s="3">
        <v>7</v>
      </c>
      <c r="AP61" s="3">
        <v>4</v>
      </c>
      <c r="AR61" s="2" t="s">
        <v>1026</v>
      </c>
    </row>
    <row r="62" spans="1:44" ht="12.75" customHeight="1">
      <c r="A62" s="4">
        <f>DATE(74,5,16)</f>
        <v>27165</v>
      </c>
      <c r="C62" s="2" t="s">
        <v>374</v>
      </c>
      <c r="E62" s="18">
        <v>4</v>
      </c>
      <c r="F62" s="18">
        <v>4</v>
      </c>
      <c r="G62" s="18">
        <v>4</v>
      </c>
      <c r="H62" s="18">
        <v>0</v>
      </c>
      <c r="I62" s="18">
        <v>2</v>
      </c>
      <c r="J62" s="18">
        <v>0</v>
      </c>
      <c r="K62" s="18" t="s">
        <v>162</v>
      </c>
      <c r="T62" s="3">
        <v>14</v>
      </c>
      <c r="U62" s="3">
        <v>13</v>
      </c>
      <c r="V62" s="3">
        <v>2</v>
      </c>
      <c r="X62" s="2" t="s">
        <v>996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N62" s="3">
        <v>0</v>
      </c>
      <c r="AO62" s="3">
        <v>3</v>
      </c>
      <c r="AP62" s="3">
        <v>5</v>
      </c>
      <c r="AR62" s="2" t="s">
        <v>1036</v>
      </c>
    </row>
    <row r="63" spans="1:44" ht="12.75" customHeight="1">
      <c r="A63" s="4">
        <f>DATE(75,4,28)</f>
        <v>27512</v>
      </c>
      <c r="B63" s="2" t="s">
        <v>152</v>
      </c>
      <c r="C63" s="2" t="s">
        <v>374</v>
      </c>
      <c r="E63" s="18">
        <v>1</v>
      </c>
      <c r="F63" s="18">
        <v>0</v>
      </c>
      <c r="G63" s="18">
        <v>2</v>
      </c>
      <c r="H63" s="18">
        <v>2</v>
      </c>
      <c r="I63" s="18">
        <v>0</v>
      </c>
      <c r="J63" s="18">
        <v>1</v>
      </c>
      <c r="K63" s="18">
        <v>0</v>
      </c>
      <c r="T63" s="3">
        <v>6</v>
      </c>
      <c r="U63" s="3">
        <v>7</v>
      </c>
      <c r="V63" s="3">
        <v>1</v>
      </c>
      <c r="X63" s="2" t="s">
        <v>1049</v>
      </c>
      <c r="Y63" s="18">
        <v>1</v>
      </c>
      <c r="Z63" s="18">
        <v>0</v>
      </c>
      <c r="AA63" s="18">
        <v>2</v>
      </c>
      <c r="AB63" s="18">
        <v>0</v>
      </c>
      <c r="AC63" s="18">
        <v>0</v>
      </c>
      <c r="AD63" s="18">
        <v>0</v>
      </c>
      <c r="AE63" s="18">
        <v>0</v>
      </c>
      <c r="AN63" s="3">
        <v>3</v>
      </c>
      <c r="AO63" s="3">
        <v>3</v>
      </c>
      <c r="AP63" s="3">
        <v>3</v>
      </c>
      <c r="AR63" s="2" t="s">
        <v>1050</v>
      </c>
    </row>
    <row r="64" spans="1:44" ht="12.75" customHeight="1">
      <c r="A64" s="4">
        <f>DATE(75,5,20)</f>
        <v>27534</v>
      </c>
      <c r="C64" s="2" t="s">
        <v>374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1</v>
      </c>
      <c r="K64" s="18">
        <v>3</v>
      </c>
      <c r="T64" s="3">
        <v>4</v>
      </c>
      <c r="U64" s="3">
        <v>6</v>
      </c>
      <c r="V64" s="3">
        <v>4</v>
      </c>
      <c r="X64" s="2" t="s">
        <v>1061</v>
      </c>
      <c r="Y64" s="18">
        <v>0</v>
      </c>
      <c r="Z64" s="18">
        <v>0</v>
      </c>
      <c r="AA64" s="18">
        <v>2</v>
      </c>
      <c r="AB64" s="18">
        <v>1</v>
      </c>
      <c r="AC64" s="18">
        <v>0</v>
      </c>
      <c r="AD64" s="18">
        <v>0</v>
      </c>
      <c r="AE64" s="18">
        <v>0</v>
      </c>
      <c r="AN64" s="3">
        <v>3</v>
      </c>
      <c r="AO64" s="3">
        <v>7</v>
      </c>
      <c r="AP64" s="3">
        <v>1</v>
      </c>
      <c r="AR64" s="2" t="s">
        <v>1062</v>
      </c>
    </row>
    <row r="65" spans="1:44" ht="12.75" customHeight="1">
      <c r="A65" s="4">
        <f>DATE(76,4,27)</f>
        <v>27877</v>
      </c>
      <c r="B65" s="2" t="s">
        <v>152</v>
      </c>
      <c r="C65" s="2" t="s">
        <v>374</v>
      </c>
      <c r="E65" s="18">
        <v>0</v>
      </c>
      <c r="F65" s="18">
        <v>1</v>
      </c>
      <c r="G65" s="18">
        <v>0</v>
      </c>
      <c r="H65" s="18">
        <v>1</v>
      </c>
      <c r="I65" s="18">
        <v>1</v>
      </c>
      <c r="J65" s="18">
        <v>2</v>
      </c>
      <c r="K65" s="18">
        <v>0</v>
      </c>
      <c r="T65" s="3">
        <v>5</v>
      </c>
      <c r="U65" s="3">
        <v>6</v>
      </c>
      <c r="V65" s="3">
        <v>5</v>
      </c>
      <c r="X65" s="2" t="s">
        <v>1082</v>
      </c>
      <c r="Y65" s="18">
        <v>3</v>
      </c>
      <c r="Z65" s="18">
        <v>5</v>
      </c>
      <c r="AA65" s="18">
        <v>0</v>
      </c>
      <c r="AB65" s="18">
        <v>1</v>
      </c>
      <c r="AC65" s="18">
        <v>0</v>
      </c>
      <c r="AD65" s="18">
        <v>1</v>
      </c>
      <c r="AE65" s="18" t="s">
        <v>162</v>
      </c>
      <c r="AN65" s="3">
        <v>10</v>
      </c>
      <c r="AO65" s="3">
        <v>8</v>
      </c>
      <c r="AP65" s="3">
        <v>3</v>
      </c>
      <c r="AR65" s="2" t="s">
        <v>1083</v>
      </c>
    </row>
    <row r="66" spans="1:44" ht="12.75" customHeight="1">
      <c r="A66" s="4">
        <f>DATE(76,5,20)</f>
        <v>27900</v>
      </c>
      <c r="C66" s="2" t="s">
        <v>374</v>
      </c>
      <c r="E66" s="18">
        <v>1</v>
      </c>
      <c r="F66" s="18">
        <v>0</v>
      </c>
      <c r="G66" s="18">
        <v>1</v>
      </c>
      <c r="H66" s="18">
        <v>0</v>
      </c>
      <c r="I66" s="18">
        <v>4</v>
      </c>
      <c r="J66" s="18">
        <v>0</v>
      </c>
      <c r="K66" s="18" t="s">
        <v>162</v>
      </c>
      <c r="T66" s="3">
        <v>6</v>
      </c>
      <c r="U66" s="3">
        <v>7</v>
      </c>
      <c r="V66" s="3">
        <v>3</v>
      </c>
      <c r="X66" s="2" t="s">
        <v>1086</v>
      </c>
      <c r="Y66" s="18">
        <v>0</v>
      </c>
      <c r="Z66" s="18">
        <v>0</v>
      </c>
      <c r="AA66" s="18">
        <v>1</v>
      </c>
      <c r="AB66" s="18">
        <v>0</v>
      </c>
      <c r="AC66" s="18">
        <v>0</v>
      </c>
      <c r="AD66" s="18">
        <v>0</v>
      </c>
      <c r="AE66" s="18">
        <v>2</v>
      </c>
      <c r="AN66" s="3">
        <v>3</v>
      </c>
      <c r="AO66" s="3">
        <v>5</v>
      </c>
      <c r="AP66" s="3">
        <v>2</v>
      </c>
      <c r="AR66" s="2" t="s">
        <v>1095</v>
      </c>
    </row>
    <row r="67" spans="1:44" ht="12.75" customHeight="1">
      <c r="A67" s="4">
        <f>DATE(77,4,13)</f>
        <v>28228</v>
      </c>
      <c r="C67" s="2" t="s">
        <v>374</v>
      </c>
      <c r="E67" s="18">
        <v>0</v>
      </c>
      <c r="F67" s="18">
        <v>1</v>
      </c>
      <c r="G67" s="18">
        <v>0</v>
      </c>
      <c r="H67" s="18">
        <v>0</v>
      </c>
      <c r="I67" s="18">
        <v>0</v>
      </c>
      <c r="J67" s="18">
        <v>1</v>
      </c>
      <c r="K67" s="18" t="s">
        <v>162</v>
      </c>
      <c r="T67" s="3">
        <v>2</v>
      </c>
      <c r="U67" s="3">
        <v>3</v>
      </c>
      <c r="V67" s="3">
        <v>1</v>
      </c>
      <c r="X67" s="2" t="s">
        <v>1064</v>
      </c>
      <c r="Y67" s="18">
        <v>0</v>
      </c>
      <c r="Z67" s="18">
        <v>0</v>
      </c>
      <c r="AA67" s="18">
        <v>1</v>
      </c>
      <c r="AB67" s="18">
        <v>0</v>
      </c>
      <c r="AC67" s="18">
        <v>0</v>
      </c>
      <c r="AD67" s="18">
        <v>0</v>
      </c>
      <c r="AE67" s="18">
        <v>0</v>
      </c>
      <c r="AN67" s="3">
        <v>1</v>
      </c>
      <c r="AO67" s="3">
        <v>3</v>
      </c>
      <c r="AP67" s="3">
        <v>3</v>
      </c>
      <c r="AR67" s="2" t="s">
        <v>1095</v>
      </c>
    </row>
    <row r="68" spans="1:44" ht="12.75" customHeight="1">
      <c r="A68" s="4">
        <f>DATE(77,4,28)</f>
        <v>28243</v>
      </c>
      <c r="B68" s="2" t="s">
        <v>152</v>
      </c>
      <c r="C68" s="2" t="s">
        <v>374</v>
      </c>
      <c r="E68" s="18">
        <v>1</v>
      </c>
      <c r="F68" s="18">
        <v>0</v>
      </c>
      <c r="G68" s="18">
        <v>1</v>
      </c>
      <c r="H68" s="18">
        <v>1</v>
      </c>
      <c r="I68" s="18">
        <v>0</v>
      </c>
      <c r="J68" s="18">
        <v>1</v>
      </c>
      <c r="K68" s="18">
        <v>6</v>
      </c>
      <c r="T68" s="3">
        <v>10</v>
      </c>
      <c r="U68" s="3">
        <v>10</v>
      </c>
      <c r="V68" s="3">
        <v>6</v>
      </c>
      <c r="X68" s="2" t="s">
        <v>1125</v>
      </c>
      <c r="Y68" s="18">
        <v>0</v>
      </c>
      <c r="Z68" s="18">
        <v>0</v>
      </c>
      <c r="AA68" s="18">
        <v>0</v>
      </c>
      <c r="AB68" s="18">
        <v>4</v>
      </c>
      <c r="AC68" s="18">
        <v>0</v>
      </c>
      <c r="AD68" s="18">
        <v>0</v>
      </c>
      <c r="AE68" s="18">
        <v>1</v>
      </c>
      <c r="AN68" s="3">
        <v>5</v>
      </c>
      <c r="AO68" s="3">
        <v>7</v>
      </c>
      <c r="AP68" s="3">
        <v>1</v>
      </c>
      <c r="AR68" s="2" t="s">
        <v>1126</v>
      </c>
    </row>
    <row r="69" spans="1:44" ht="12.75" customHeight="1">
      <c r="A69" s="4">
        <f>DATE(78,4,12)</f>
        <v>28592</v>
      </c>
      <c r="C69" s="2" t="s">
        <v>374</v>
      </c>
      <c r="D69" s="2" t="s">
        <v>267</v>
      </c>
      <c r="E69" s="18">
        <v>5</v>
      </c>
      <c r="F69" s="18">
        <v>4</v>
      </c>
      <c r="G69" s="18">
        <v>3</v>
      </c>
      <c r="H69" s="18">
        <v>2</v>
      </c>
      <c r="I69" s="18">
        <v>0</v>
      </c>
      <c r="J69" s="18">
        <v>2</v>
      </c>
      <c r="K69" s="18" t="s">
        <v>162</v>
      </c>
      <c r="T69" s="3">
        <v>16</v>
      </c>
      <c r="U69" s="3">
        <v>15</v>
      </c>
      <c r="V69" s="3">
        <v>1</v>
      </c>
      <c r="X69" s="2" t="s">
        <v>1161</v>
      </c>
      <c r="Y69" s="18">
        <v>0</v>
      </c>
      <c r="Z69" s="18">
        <v>0</v>
      </c>
      <c r="AA69" s="18">
        <v>3</v>
      </c>
      <c r="AB69" s="18">
        <v>1</v>
      </c>
      <c r="AC69" s="18">
        <v>4</v>
      </c>
      <c r="AD69" s="18">
        <v>0</v>
      </c>
      <c r="AE69" s="18">
        <v>0</v>
      </c>
      <c r="AN69" s="3">
        <v>8</v>
      </c>
      <c r="AO69" s="3">
        <v>8</v>
      </c>
      <c r="AP69" s="3">
        <v>1</v>
      </c>
      <c r="AR69" s="2" t="s">
        <v>1162</v>
      </c>
    </row>
    <row r="70" spans="1:44" ht="12.75" customHeight="1">
      <c r="A70" s="4">
        <f>DATE(78,5,2)</f>
        <v>28612</v>
      </c>
      <c r="B70" s="2" t="s">
        <v>152</v>
      </c>
      <c r="C70" s="2" t="s">
        <v>374</v>
      </c>
      <c r="E70" s="18">
        <v>2</v>
      </c>
      <c r="F70" s="18">
        <v>1</v>
      </c>
      <c r="G70" s="18">
        <v>2</v>
      </c>
      <c r="H70" s="18">
        <v>0</v>
      </c>
      <c r="I70" s="18">
        <v>1</v>
      </c>
      <c r="J70" s="18">
        <v>0</v>
      </c>
      <c r="K70" s="18">
        <v>1</v>
      </c>
      <c r="T70" s="3">
        <v>7</v>
      </c>
      <c r="U70" s="3">
        <v>9</v>
      </c>
      <c r="V70" s="3">
        <v>3</v>
      </c>
      <c r="X70" s="2" t="s">
        <v>1175</v>
      </c>
      <c r="Y70" s="18">
        <v>0</v>
      </c>
      <c r="Z70" s="18">
        <v>0</v>
      </c>
      <c r="AA70" s="18">
        <v>0</v>
      </c>
      <c r="AB70" s="18">
        <v>4</v>
      </c>
      <c r="AC70" s="18">
        <v>0</v>
      </c>
      <c r="AD70" s="18">
        <v>1</v>
      </c>
      <c r="AE70" s="18">
        <v>1</v>
      </c>
      <c r="AN70" s="3">
        <v>6</v>
      </c>
      <c r="AO70" s="3">
        <v>10</v>
      </c>
      <c r="AP70" s="3">
        <v>0</v>
      </c>
      <c r="AR70" s="2" t="s">
        <v>1176</v>
      </c>
    </row>
    <row r="71" spans="1:44" ht="12.75" customHeight="1">
      <c r="A71" s="4">
        <f>DATE(79,4,10)</f>
        <v>28955</v>
      </c>
      <c r="C71" s="2" t="s">
        <v>374</v>
      </c>
      <c r="E71" s="18">
        <v>1</v>
      </c>
      <c r="F71" s="18">
        <v>3</v>
      </c>
      <c r="G71" s="18">
        <v>1</v>
      </c>
      <c r="H71" s="18">
        <v>0</v>
      </c>
      <c r="I71" s="18">
        <v>4</v>
      </c>
      <c r="J71" s="18">
        <v>2</v>
      </c>
      <c r="K71" s="18" t="s">
        <v>162</v>
      </c>
      <c r="T71" s="3">
        <v>11</v>
      </c>
      <c r="U71" s="3">
        <v>11</v>
      </c>
      <c r="V71" s="3">
        <v>1</v>
      </c>
      <c r="X71" s="2" t="s">
        <v>1195</v>
      </c>
      <c r="Y71" s="18">
        <v>1</v>
      </c>
      <c r="Z71" s="18">
        <v>0</v>
      </c>
      <c r="AA71" s="18">
        <v>0</v>
      </c>
      <c r="AB71" s="18">
        <v>0</v>
      </c>
      <c r="AC71" s="18">
        <v>2</v>
      </c>
      <c r="AD71" s="18">
        <v>0</v>
      </c>
      <c r="AE71" s="18">
        <v>0</v>
      </c>
      <c r="AN71" s="3">
        <v>3</v>
      </c>
      <c r="AO71" s="3">
        <v>5</v>
      </c>
      <c r="AP71" s="3">
        <v>3</v>
      </c>
      <c r="AR71" s="2" t="s">
        <v>1196</v>
      </c>
    </row>
    <row r="72" spans="1:44" ht="12.75" customHeight="1">
      <c r="A72" s="4">
        <f>DATE(79,5,4)</f>
        <v>28979</v>
      </c>
      <c r="B72" s="2" t="s">
        <v>152</v>
      </c>
      <c r="C72" s="2" t="s">
        <v>374</v>
      </c>
      <c r="E72" s="18">
        <v>4</v>
      </c>
      <c r="F72" s="18">
        <v>1</v>
      </c>
      <c r="G72" s="18">
        <v>1</v>
      </c>
      <c r="H72" s="18">
        <v>2</v>
      </c>
      <c r="I72" s="18">
        <v>1</v>
      </c>
      <c r="J72" s="18">
        <v>1</v>
      </c>
      <c r="T72" s="3">
        <v>10</v>
      </c>
      <c r="U72" s="3">
        <v>14</v>
      </c>
      <c r="V72" s="3">
        <v>0</v>
      </c>
      <c r="X72" s="2" t="s">
        <v>1213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 t="s">
        <v>158</v>
      </c>
      <c r="AN72" s="3">
        <v>0</v>
      </c>
      <c r="AO72" s="3">
        <v>1</v>
      </c>
      <c r="AP72" s="3">
        <v>2</v>
      </c>
      <c r="AR72" s="2" t="s">
        <v>1214</v>
      </c>
    </row>
    <row r="73" spans="1:44" ht="12.75" customHeight="1">
      <c r="A73" s="4">
        <f>DATE(80,4,17)</f>
        <v>29328</v>
      </c>
      <c r="C73" s="2" t="s">
        <v>374</v>
      </c>
      <c r="E73" s="18">
        <v>1</v>
      </c>
      <c r="F73" s="18">
        <v>1</v>
      </c>
      <c r="G73" s="18">
        <v>1</v>
      </c>
      <c r="H73" s="18">
        <v>3</v>
      </c>
      <c r="I73" s="18">
        <v>0</v>
      </c>
      <c r="J73" s="18">
        <v>0</v>
      </c>
      <c r="K73" s="18">
        <v>0</v>
      </c>
      <c r="T73" s="3">
        <v>6</v>
      </c>
      <c r="U73" s="3">
        <v>6</v>
      </c>
      <c r="V73" s="3">
        <v>4</v>
      </c>
      <c r="X73" s="2" t="s">
        <v>1251</v>
      </c>
      <c r="Y73" s="18">
        <v>0</v>
      </c>
      <c r="Z73" s="18">
        <v>3</v>
      </c>
      <c r="AA73" s="18">
        <v>2</v>
      </c>
      <c r="AB73" s="18">
        <v>5</v>
      </c>
      <c r="AC73" s="18">
        <v>0</v>
      </c>
      <c r="AD73" s="18">
        <v>0</v>
      </c>
      <c r="AE73" s="18">
        <v>0</v>
      </c>
      <c r="AN73" s="3">
        <v>10</v>
      </c>
      <c r="AO73" s="3">
        <v>8</v>
      </c>
      <c r="AP73" s="3">
        <v>3</v>
      </c>
      <c r="AR73" s="2" t="s">
        <v>1252</v>
      </c>
    </row>
    <row r="74" spans="1:44" ht="12.75" customHeight="1">
      <c r="A74" s="4">
        <f>DATE(80,5,19)</f>
        <v>29360</v>
      </c>
      <c r="B74" s="2" t="s">
        <v>152</v>
      </c>
      <c r="C74" s="2" t="s">
        <v>374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T74" s="3">
        <v>0</v>
      </c>
      <c r="U74" s="3">
        <v>1</v>
      </c>
      <c r="V74" s="3">
        <v>1</v>
      </c>
      <c r="X74" s="2" t="s">
        <v>1245</v>
      </c>
      <c r="Y74" s="18">
        <v>0</v>
      </c>
      <c r="Z74" s="18">
        <v>0</v>
      </c>
      <c r="AA74" s="18">
        <v>1</v>
      </c>
      <c r="AB74" s="18">
        <v>0</v>
      </c>
      <c r="AC74" s="18">
        <v>1</v>
      </c>
      <c r="AD74" s="18">
        <v>0</v>
      </c>
      <c r="AE74" s="18" t="s">
        <v>162</v>
      </c>
      <c r="AN74" s="3">
        <v>2</v>
      </c>
      <c r="AO74" s="3">
        <v>5</v>
      </c>
      <c r="AP74" s="3">
        <v>0</v>
      </c>
      <c r="AR74" s="2" t="s">
        <v>1252</v>
      </c>
    </row>
    <row r="75" spans="1:44" ht="12.75" customHeight="1">
      <c r="A75" s="4">
        <f>DATE(81,4,21)</f>
        <v>29697</v>
      </c>
      <c r="C75" s="2" t="s">
        <v>374</v>
      </c>
      <c r="E75" s="18">
        <v>0</v>
      </c>
      <c r="F75" s="18">
        <v>3</v>
      </c>
      <c r="G75" s="18">
        <v>4</v>
      </c>
      <c r="H75" s="18">
        <v>2</v>
      </c>
      <c r="I75" s="18">
        <v>2</v>
      </c>
      <c r="J75" s="18">
        <v>0</v>
      </c>
      <c r="K75" s="18" t="s">
        <v>162</v>
      </c>
      <c r="T75" s="3">
        <v>11</v>
      </c>
      <c r="U75" s="3">
        <v>8</v>
      </c>
      <c r="V75" s="3">
        <v>2</v>
      </c>
      <c r="X75" s="2" t="s">
        <v>1256</v>
      </c>
      <c r="Y75" s="18">
        <v>0</v>
      </c>
      <c r="Z75" s="18">
        <v>0</v>
      </c>
      <c r="AA75" s="18">
        <v>0</v>
      </c>
      <c r="AB75" s="18">
        <v>5</v>
      </c>
      <c r="AC75" s="18">
        <v>0</v>
      </c>
      <c r="AD75" s="18">
        <v>0</v>
      </c>
      <c r="AE75" s="18">
        <v>1</v>
      </c>
      <c r="AN75" s="3">
        <v>6</v>
      </c>
      <c r="AO75" s="3">
        <v>8</v>
      </c>
      <c r="AP75" s="3">
        <v>5</v>
      </c>
      <c r="AR75" s="2" t="s">
        <v>1338</v>
      </c>
    </row>
    <row r="76" spans="1:44" ht="12.75" customHeight="1">
      <c r="A76" s="4">
        <f>DATE(81,5,14)</f>
        <v>29720</v>
      </c>
      <c r="B76" s="2" t="s">
        <v>152</v>
      </c>
      <c r="C76" s="2" t="s">
        <v>374</v>
      </c>
      <c r="E76" s="18">
        <v>0</v>
      </c>
      <c r="F76" s="18">
        <v>0</v>
      </c>
      <c r="G76" s="18">
        <v>1</v>
      </c>
      <c r="H76" s="18">
        <v>1</v>
      </c>
      <c r="I76" s="18">
        <v>0</v>
      </c>
      <c r="J76" s="18">
        <v>4</v>
      </c>
      <c r="K76" s="18">
        <v>0</v>
      </c>
      <c r="T76" s="3">
        <v>6</v>
      </c>
      <c r="U76" s="3">
        <v>12</v>
      </c>
      <c r="V76" s="3">
        <v>1</v>
      </c>
      <c r="X76" s="2" t="s">
        <v>1320</v>
      </c>
      <c r="Y76" s="18">
        <v>1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N76" s="3">
        <v>1</v>
      </c>
      <c r="AO76" s="3">
        <v>1</v>
      </c>
      <c r="AP76" s="3">
        <v>0</v>
      </c>
      <c r="AR76" s="2" t="s">
        <v>1351</v>
      </c>
    </row>
    <row r="77" spans="1:44" ht="12.75" customHeight="1">
      <c r="A77" s="4">
        <f>DATE(82,4,22)</f>
        <v>30063</v>
      </c>
      <c r="C77" s="2" t="s">
        <v>374</v>
      </c>
      <c r="E77" s="18">
        <v>2</v>
      </c>
      <c r="F77" s="18">
        <v>0</v>
      </c>
      <c r="G77" s="18">
        <v>1</v>
      </c>
      <c r="H77" s="18">
        <v>3</v>
      </c>
      <c r="I77" s="18">
        <v>0</v>
      </c>
      <c r="J77" s="18">
        <v>0</v>
      </c>
      <c r="K77" s="18" t="s">
        <v>162</v>
      </c>
      <c r="T77" s="3">
        <v>6</v>
      </c>
      <c r="U77" s="3">
        <v>6</v>
      </c>
      <c r="V77" s="3">
        <v>2</v>
      </c>
      <c r="X77" s="2" t="s">
        <v>1313</v>
      </c>
      <c r="Y77" s="18">
        <v>0</v>
      </c>
      <c r="Z77" s="18">
        <v>2</v>
      </c>
      <c r="AA77" s="18">
        <v>0</v>
      </c>
      <c r="AB77" s="18">
        <v>0</v>
      </c>
      <c r="AC77" s="18">
        <v>0</v>
      </c>
      <c r="AD77" s="18">
        <v>0</v>
      </c>
      <c r="AE77" s="18">
        <v>1</v>
      </c>
      <c r="AN77" s="3">
        <v>3</v>
      </c>
      <c r="AO77" s="3">
        <v>7</v>
      </c>
      <c r="AP77" s="3">
        <v>2</v>
      </c>
      <c r="AR77" s="2" t="s">
        <v>1376</v>
      </c>
    </row>
    <row r="78" spans="1:44" ht="12.75" customHeight="1">
      <c r="A78" s="4">
        <f>DATE(82,5,18)</f>
        <v>30089</v>
      </c>
      <c r="B78" s="2" t="s">
        <v>152</v>
      </c>
      <c r="C78" s="2" t="s">
        <v>374</v>
      </c>
      <c r="E78" s="18">
        <v>1</v>
      </c>
      <c r="F78" s="18">
        <v>3</v>
      </c>
      <c r="G78" s="18">
        <v>3</v>
      </c>
      <c r="H78" s="18">
        <v>0</v>
      </c>
      <c r="I78" s="18">
        <v>0</v>
      </c>
      <c r="J78" s="18">
        <v>1</v>
      </c>
      <c r="T78" s="3">
        <v>8</v>
      </c>
      <c r="U78" s="3">
        <v>7</v>
      </c>
      <c r="V78" s="3">
        <v>5</v>
      </c>
      <c r="X78" s="2" t="s">
        <v>1369</v>
      </c>
      <c r="Y78" s="18">
        <v>2</v>
      </c>
      <c r="Z78" s="18">
        <v>3</v>
      </c>
      <c r="AA78" s="18">
        <v>0</v>
      </c>
      <c r="AB78" s="18">
        <v>2</v>
      </c>
      <c r="AC78" s="18">
        <v>1</v>
      </c>
      <c r="AD78" s="18">
        <v>2</v>
      </c>
      <c r="AE78" s="18" t="s">
        <v>162</v>
      </c>
      <c r="AN78" s="3">
        <v>10</v>
      </c>
      <c r="AO78" s="3">
        <v>10</v>
      </c>
      <c r="AP78" s="3">
        <v>2</v>
      </c>
      <c r="AR78" s="2" t="s">
        <v>1392</v>
      </c>
    </row>
    <row r="79" spans="1:44" ht="12.75" customHeight="1">
      <c r="A79" s="4">
        <f>DATE(82,6,8)</f>
        <v>30110</v>
      </c>
      <c r="B79" s="2" t="s">
        <v>239</v>
      </c>
      <c r="C79" s="2" t="s">
        <v>374</v>
      </c>
      <c r="D79" s="2" t="s">
        <v>260</v>
      </c>
      <c r="E79" s="18">
        <v>3</v>
      </c>
      <c r="F79" s="18">
        <v>0</v>
      </c>
      <c r="G79" s="18">
        <v>0</v>
      </c>
      <c r="H79" s="18">
        <v>1</v>
      </c>
      <c r="I79" s="18">
        <v>1</v>
      </c>
      <c r="J79" s="18">
        <v>0</v>
      </c>
      <c r="K79" s="18">
        <v>0</v>
      </c>
      <c r="T79" s="3">
        <v>5</v>
      </c>
      <c r="U79" s="3">
        <v>10</v>
      </c>
      <c r="V79" s="3">
        <v>4</v>
      </c>
      <c r="X79" s="2" t="s">
        <v>1313</v>
      </c>
      <c r="Y79" s="18">
        <v>5</v>
      </c>
      <c r="Z79" s="18">
        <v>1</v>
      </c>
      <c r="AA79" s="18">
        <v>0</v>
      </c>
      <c r="AB79" s="18">
        <v>0</v>
      </c>
      <c r="AC79" s="18">
        <v>0</v>
      </c>
      <c r="AD79" s="18">
        <v>0</v>
      </c>
      <c r="AE79" s="18" t="s">
        <v>162</v>
      </c>
      <c r="AN79" s="3">
        <v>6</v>
      </c>
      <c r="AO79" s="3">
        <v>5</v>
      </c>
      <c r="AP79" s="3">
        <v>0</v>
      </c>
      <c r="AR79" s="2" t="s">
        <v>1394</v>
      </c>
    </row>
    <row r="80" spans="1:44" ht="12.75" customHeight="1">
      <c r="A80" s="4">
        <f>DATE(83,4,26)</f>
        <v>30432</v>
      </c>
      <c r="C80" s="2" t="s">
        <v>374</v>
      </c>
      <c r="E80" s="18">
        <v>2</v>
      </c>
      <c r="F80" s="18">
        <v>0</v>
      </c>
      <c r="G80" s="18">
        <v>4</v>
      </c>
      <c r="H80" s="18">
        <v>7</v>
      </c>
      <c r="I80" s="18" t="s">
        <v>162</v>
      </c>
      <c r="T80" s="3">
        <v>13</v>
      </c>
      <c r="U80" s="3">
        <v>15</v>
      </c>
      <c r="V80" s="3">
        <v>1</v>
      </c>
      <c r="X80" s="2" t="s">
        <v>1334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N80" s="3">
        <v>0</v>
      </c>
      <c r="AO80" s="3">
        <v>2</v>
      </c>
      <c r="AP80" s="3">
        <v>0</v>
      </c>
      <c r="AR80" s="2" t="s">
        <v>1415</v>
      </c>
    </row>
    <row r="81" spans="1:44" ht="12.75" customHeight="1">
      <c r="A81" s="4">
        <f>DATE(83,5,24)</f>
        <v>30460</v>
      </c>
      <c r="B81" s="2" t="s">
        <v>152</v>
      </c>
      <c r="C81" s="2" t="s">
        <v>374</v>
      </c>
      <c r="E81" s="18">
        <v>0</v>
      </c>
      <c r="F81" s="18">
        <v>0</v>
      </c>
      <c r="G81" s="18">
        <v>3</v>
      </c>
      <c r="H81" s="18">
        <v>0</v>
      </c>
      <c r="I81" s="18">
        <v>1</v>
      </c>
      <c r="J81" s="18">
        <v>3</v>
      </c>
      <c r="K81" s="18">
        <v>0</v>
      </c>
      <c r="T81" s="3">
        <v>7</v>
      </c>
      <c r="U81" s="3">
        <v>6</v>
      </c>
      <c r="V81" s="3">
        <v>4</v>
      </c>
      <c r="X81" s="2" t="s">
        <v>1339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2</v>
      </c>
      <c r="AE81" s="18">
        <v>0</v>
      </c>
      <c r="AN81" s="3">
        <v>2</v>
      </c>
      <c r="AO81" s="3">
        <v>3</v>
      </c>
      <c r="AP81" s="3">
        <v>2</v>
      </c>
      <c r="AR81" s="2" t="s">
        <v>1440</v>
      </c>
    </row>
    <row r="82" spans="1:44" ht="12.75" customHeight="1">
      <c r="A82" s="4">
        <f>DATE(84,4,3)</f>
        <v>30775</v>
      </c>
      <c r="B82" s="2" t="s">
        <v>152</v>
      </c>
      <c r="C82" s="2" t="s">
        <v>374</v>
      </c>
      <c r="E82" s="18">
        <v>2</v>
      </c>
      <c r="F82" s="18">
        <v>1</v>
      </c>
      <c r="G82" s="18">
        <v>2</v>
      </c>
      <c r="H82" s="18">
        <v>0</v>
      </c>
      <c r="I82" s="18">
        <v>0</v>
      </c>
      <c r="J82" s="18">
        <v>0</v>
      </c>
      <c r="K82" s="18">
        <v>0</v>
      </c>
      <c r="T82" s="3">
        <v>5</v>
      </c>
      <c r="U82" s="3">
        <v>6</v>
      </c>
      <c r="V82" s="3">
        <v>3</v>
      </c>
      <c r="X82" s="2" t="s">
        <v>1399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N82" s="3">
        <v>0</v>
      </c>
      <c r="AO82" s="3">
        <v>2</v>
      </c>
      <c r="AP82" s="3">
        <v>4</v>
      </c>
      <c r="AR82" s="2" t="s">
        <v>1451</v>
      </c>
    </row>
    <row r="83" spans="1:44" ht="12.75" customHeight="1">
      <c r="A83" s="4">
        <f>DATE(84,4,26)</f>
        <v>30798</v>
      </c>
      <c r="C83" s="2" t="s">
        <v>374</v>
      </c>
      <c r="E83" s="18">
        <v>4</v>
      </c>
      <c r="F83" s="18">
        <v>0</v>
      </c>
      <c r="G83" s="18">
        <v>1</v>
      </c>
      <c r="H83" s="18">
        <v>2</v>
      </c>
      <c r="I83" s="18">
        <v>1</v>
      </c>
      <c r="J83" s="18">
        <v>1</v>
      </c>
      <c r="K83" s="18" t="s">
        <v>162</v>
      </c>
      <c r="T83" s="3">
        <v>9</v>
      </c>
      <c r="U83" s="3">
        <v>13</v>
      </c>
      <c r="V83" s="3">
        <v>4</v>
      </c>
      <c r="X83" s="2" t="s">
        <v>1399</v>
      </c>
      <c r="Y83" s="18">
        <v>0</v>
      </c>
      <c r="Z83" s="18">
        <v>0</v>
      </c>
      <c r="AA83" s="18">
        <v>0</v>
      </c>
      <c r="AB83" s="18">
        <v>1</v>
      </c>
      <c r="AC83" s="18">
        <v>0</v>
      </c>
      <c r="AD83" s="18">
        <v>0</v>
      </c>
      <c r="AE83" s="18">
        <v>0</v>
      </c>
      <c r="AN83" s="3">
        <v>1</v>
      </c>
      <c r="AO83" s="3">
        <v>5</v>
      </c>
      <c r="AP83" s="3">
        <v>2</v>
      </c>
      <c r="AR83" s="2" t="s">
        <v>1462</v>
      </c>
    </row>
    <row r="84" spans="1:44" ht="12.75" customHeight="1">
      <c r="A84" s="4">
        <f>DATE(85,4,12)</f>
        <v>31149</v>
      </c>
      <c r="B84" s="2" t="s">
        <v>152</v>
      </c>
      <c r="C84" s="2" t="s">
        <v>374</v>
      </c>
      <c r="E84" s="18">
        <v>1</v>
      </c>
      <c r="F84" s="18">
        <v>3</v>
      </c>
      <c r="G84" s="18">
        <v>0</v>
      </c>
      <c r="H84" s="18">
        <v>1</v>
      </c>
      <c r="I84" s="18">
        <v>0</v>
      </c>
      <c r="J84" s="18">
        <v>0</v>
      </c>
      <c r="K84" s="18">
        <v>1</v>
      </c>
      <c r="T84" s="3">
        <v>6</v>
      </c>
      <c r="U84" s="3">
        <v>6</v>
      </c>
      <c r="V84" s="3">
        <v>8</v>
      </c>
      <c r="X84" s="2" t="s">
        <v>1480</v>
      </c>
      <c r="Y84" s="18">
        <v>3</v>
      </c>
      <c r="Z84" s="18">
        <v>0</v>
      </c>
      <c r="AA84" s="18">
        <v>5</v>
      </c>
      <c r="AB84" s="18">
        <v>0</v>
      </c>
      <c r="AC84" s="18">
        <v>6</v>
      </c>
      <c r="AD84" s="18">
        <v>0</v>
      </c>
      <c r="AE84" s="18" t="s">
        <v>162</v>
      </c>
      <c r="AN84" s="3">
        <v>14</v>
      </c>
      <c r="AO84" s="3">
        <v>14</v>
      </c>
      <c r="AP84" s="3">
        <v>1</v>
      </c>
      <c r="AR84" s="2" t="s">
        <v>1481</v>
      </c>
    </row>
    <row r="85" spans="1:44" ht="12.75" customHeight="1">
      <c r="A85" s="4">
        <f>DATE(85,5,3)</f>
        <v>31170</v>
      </c>
      <c r="C85" s="2" t="s">
        <v>374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1</v>
      </c>
      <c r="K85" s="18">
        <v>0</v>
      </c>
      <c r="T85" s="3">
        <v>1</v>
      </c>
      <c r="U85" s="3">
        <v>3</v>
      </c>
      <c r="V85" s="3">
        <v>5</v>
      </c>
      <c r="X85" s="2" t="s">
        <v>1457</v>
      </c>
      <c r="Y85" s="18">
        <v>1</v>
      </c>
      <c r="Z85" s="18">
        <v>0</v>
      </c>
      <c r="AA85" s="18">
        <v>1</v>
      </c>
      <c r="AB85" s="18">
        <v>0</v>
      </c>
      <c r="AC85" s="18">
        <v>0</v>
      </c>
      <c r="AD85" s="18">
        <v>3</v>
      </c>
      <c r="AE85" s="18">
        <v>1</v>
      </c>
      <c r="AN85" s="3">
        <v>6</v>
      </c>
      <c r="AO85" s="3">
        <v>9</v>
      </c>
      <c r="AP85" s="3">
        <v>2</v>
      </c>
      <c r="AR85" s="2" t="s">
        <v>1504</v>
      </c>
    </row>
    <row r="86" spans="1:44" ht="12.75" customHeight="1">
      <c r="A86" s="4">
        <f>DATE(86,4,8)</f>
        <v>31510</v>
      </c>
      <c r="B86" s="2" t="s">
        <v>152</v>
      </c>
      <c r="C86" s="2" t="s">
        <v>374</v>
      </c>
      <c r="E86" s="18">
        <v>6</v>
      </c>
      <c r="F86" s="18">
        <v>0</v>
      </c>
      <c r="G86" s="18">
        <v>5</v>
      </c>
      <c r="H86" s="18">
        <v>2</v>
      </c>
      <c r="I86" s="18">
        <v>0</v>
      </c>
      <c r="T86" s="3">
        <v>13</v>
      </c>
      <c r="U86" s="3">
        <v>18</v>
      </c>
      <c r="V86" s="3">
        <v>0</v>
      </c>
      <c r="X86" s="2" t="s">
        <v>1526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N86" s="3">
        <v>0</v>
      </c>
      <c r="AO86" s="3">
        <v>1</v>
      </c>
      <c r="AP86" s="3">
        <v>0</v>
      </c>
      <c r="AR86" s="2" t="s">
        <v>1527</v>
      </c>
    </row>
    <row r="87" spans="1:44" ht="12.75" customHeight="1">
      <c r="A87" s="4">
        <f>DATE(86,5,1)</f>
        <v>31533</v>
      </c>
      <c r="C87" s="2" t="s">
        <v>374</v>
      </c>
      <c r="E87" s="18">
        <v>0</v>
      </c>
      <c r="F87" s="18">
        <v>1</v>
      </c>
      <c r="G87" s="18">
        <v>0</v>
      </c>
      <c r="H87" s="18">
        <v>1</v>
      </c>
      <c r="I87" s="18">
        <v>0</v>
      </c>
      <c r="J87" s="18">
        <v>0</v>
      </c>
      <c r="K87" s="18">
        <v>1</v>
      </c>
      <c r="T87" s="3">
        <v>3</v>
      </c>
      <c r="U87" s="3">
        <v>7</v>
      </c>
      <c r="V87" s="3">
        <v>1</v>
      </c>
      <c r="X87" s="2" t="s">
        <v>1540</v>
      </c>
      <c r="Y87" s="18">
        <v>1</v>
      </c>
      <c r="Z87" s="18">
        <v>1</v>
      </c>
      <c r="AA87" s="18">
        <v>0</v>
      </c>
      <c r="AB87" s="18">
        <v>0</v>
      </c>
      <c r="AC87" s="18">
        <v>0</v>
      </c>
      <c r="AD87" s="18">
        <v>2</v>
      </c>
      <c r="AE87" s="18">
        <v>0</v>
      </c>
      <c r="AN87" s="3">
        <v>4</v>
      </c>
      <c r="AO87" s="3">
        <v>7</v>
      </c>
      <c r="AP87" s="3">
        <v>3</v>
      </c>
      <c r="AR87" s="2" t="s">
        <v>1504</v>
      </c>
    </row>
    <row r="88" spans="1:44" ht="12.75" customHeight="1">
      <c r="A88" s="4">
        <f>DATE(86,6,3)</f>
        <v>31566</v>
      </c>
      <c r="B88" s="2" t="s">
        <v>239</v>
      </c>
      <c r="C88" s="2" t="s">
        <v>374</v>
      </c>
      <c r="D88" s="2" t="s">
        <v>260</v>
      </c>
      <c r="E88" s="18">
        <v>0</v>
      </c>
      <c r="F88" s="18">
        <v>0</v>
      </c>
      <c r="G88" s="18">
        <v>1</v>
      </c>
      <c r="H88" s="18">
        <v>0</v>
      </c>
      <c r="I88" s="18">
        <v>0</v>
      </c>
      <c r="J88" s="18">
        <v>0</v>
      </c>
      <c r="K88" s="18" t="s">
        <v>162</v>
      </c>
      <c r="T88" s="3">
        <v>1</v>
      </c>
      <c r="U88" s="3">
        <v>5</v>
      </c>
      <c r="V88" s="3">
        <v>0</v>
      </c>
      <c r="X88" s="2" t="s">
        <v>1498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N88" s="3">
        <v>0</v>
      </c>
      <c r="AO88" s="3">
        <v>0</v>
      </c>
      <c r="AP88" s="3">
        <v>0</v>
      </c>
      <c r="AR88" s="2" t="s">
        <v>1550</v>
      </c>
    </row>
    <row r="89" spans="1:44" ht="12.75" customHeight="1">
      <c r="A89" s="4">
        <f>DATE(87,4,9)</f>
        <v>31876</v>
      </c>
      <c r="B89" s="2" t="s">
        <v>152</v>
      </c>
      <c r="C89" s="2" t="s">
        <v>374</v>
      </c>
      <c r="E89" s="18">
        <v>0</v>
      </c>
      <c r="F89" s="18">
        <v>0</v>
      </c>
      <c r="G89" s="18">
        <v>0</v>
      </c>
      <c r="H89" s="18">
        <v>3</v>
      </c>
      <c r="I89" s="18">
        <v>0</v>
      </c>
      <c r="J89" s="18">
        <v>0</v>
      </c>
      <c r="K89" s="18">
        <v>2</v>
      </c>
      <c r="T89" s="3">
        <v>5</v>
      </c>
      <c r="U89" s="3">
        <v>7</v>
      </c>
      <c r="V89" s="3">
        <v>0</v>
      </c>
      <c r="X89" s="2" t="s">
        <v>1563</v>
      </c>
      <c r="Y89" s="18">
        <v>0</v>
      </c>
      <c r="Z89" s="18">
        <v>1</v>
      </c>
      <c r="AA89" s="18">
        <v>0</v>
      </c>
      <c r="AB89" s="18">
        <v>0</v>
      </c>
      <c r="AC89" s="18">
        <v>2</v>
      </c>
      <c r="AD89" s="18">
        <v>0</v>
      </c>
      <c r="AE89" s="18">
        <v>0</v>
      </c>
      <c r="AN89" s="3">
        <v>3</v>
      </c>
      <c r="AO89" s="3">
        <v>8</v>
      </c>
      <c r="AP89" s="3">
        <v>1</v>
      </c>
      <c r="AR89" s="2" t="s">
        <v>1564</v>
      </c>
    </row>
    <row r="90" spans="1:44" ht="12.75" customHeight="1">
      <c r="A90" s="4">
        <f>DATE(87,5,5)</f>
        <v>31902</v>
      </c>
      <c r="C90" s="2" t="s">
        <v>374</v>
      </c>
      <c r="E90" s="18">
        <v>0</v>
      </c>
      <c r="F90" s="18">
        <v>0</v>
      </c>
      <c r="G90" s="18">
        <v>2</v>
      </c>
      <c r="H90" s="18">
        <v>1</v>
      </c>
      <c r="I90" s="18">
        <v>4</v>
      </c>
      <c r="J90" s="18">
        <v>1</v>
      </c>
      <c r="K90" s="18" t="s">
        <v>162</v>
      </c>
      <c r="T90" s="3">
        <v>8</v>
      </c>
      <c r="U90" s="3">
        <v>10</v>
      </c>
      <c r="V90" s="3">
        <v>1</v>
      </c>
      <c r="X90" s="2" t="s">
        <v>1556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3</v>
      </c>
      <c r="AN90" s="3">
        <v>3</v>
      </c>
      <c r="AO90" s="3">
        <v>8</v>
      </c>
      <c r="AP90" s="3">
        <v>4</v>
      </c>
      <c r="AR90" s="2" t="s">
        <v>1564</v>
      </c>
    </row>
    <row r="91" spans="1:44" ht="12.75" customHeight="1">
      <c r="A91" s="4">
        <f>DATE(88,4,19)</f>
        <v>32252</v>
      </c>
      <c r="B91" s="2" t="s">
        <v>152</v>
      </c>
      <c r="C91" s="2" t="s">
        <v>374</v>
      </c>
      <c r="E91" s="18">
        <v>2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1</v>
      </c>
      <c r="T91" s="3">
        <v>3</v>
      </c>
      <c r="U91" s="3">
        <v>6</v>
      </c>
      <c r="V91" s="3">
        <v>2</v>
      </c>
      <c r="X91" s="2" t="s">
        <v>1608</v>
      </c>
      <c r="Y91" s="18">
        <v>3</v>
      </c>
      <c r="Z91" s="18">
        <v>0</v>
      </c>
      <c r="AA91" s="18">
        <v>2</v>
      </c>
      <c r="AB91" s="18">
        <v>3</v>
      </c>
      <c r="AC91" s="18">
        <v>0</v>
      </c>
      <c r="AD91" s="18">
        <v>1</v>
      </c>
      <c r="AE91" s="18" t="s">
        <v>162</v>
      </c>
      <c r="AN91" s="3">
        <v>9</v>
      </c>
      <c r="AO91" s="3">
        <v>11</v>
      </c>
      <c r="AP91" s="3">
        <v>1</v>
      </c>
      <c r="AR91" s="2" t="s">
        <v>1609</v>
      </c>
    </row>
    <row r="92" spans="1:44" ht="12.75" customHeight="1">
      <c r="A92" s="4">
        <f>DATE(88,5,12)</f>
        <v>32275</v>
      </c>
      <c r="C92" s="2" t="s">
        <v>374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1</v>
      </c>
      <c r="K92" s="18">
        <v>0</v>
      </c>
      <c r="T92" s="3">
        <v>1</v>
      </c>
      <c r="U92" s="3">
        <v>4</v>
      </c>
      <c r="V92" s="3">
        <v>3</v>
      </c>
      <c r="X92" s="2" t="s">
        <v>1620</v>
      </c>
      <c r="Y92" s="18">
        <v>0</v>
      </c>
      <c r="Z92" s="18">
        <v>1</v>
      </c>
      <c r="AA92" s="18">
        <v>3</v>
      </c>
      <c r="AB92" s="18">
        <v>0</v>
      </c>
      <c r="AC92" s="18">
        <v>0</v>
      </c>
      <c r="AD92" s="18">
        <v>0</v>
      </c>
      <c r="AE92" s="18">
        <v>0</v>
      </c>
      <c r="AN92" s="3">
        <v>4</v>
      </c>
      <c r="AO92" s="3">
        <v>5</v>
      </c>
      <c r="AP92" s="3">
        <v>0</v>
      </c>
      <c r="AR92" s="2" t="s">
        <v>1564</v>
      </c>
    </row>
    <row r="93" spans="1:44" ht="12.75" customHeight="1">
      <c r="A93" s="4">
        <f>DATE(88,6,9)</f>
        <v>32303</v>
      </c>
      <c r="B93" s="2" t="s">
        <v>239</v>
      </c>
      <c r="C93" s="2" t="s">
        <v>374</v>
      </c>
      <c r="D93" s="2" t="s">
        <v>260</v>
      </c>
      <c r="E93" s="18">
        <v>0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T93" s="3">
        <v>1</v>
      </c>
      <c r="U93" s="3">
        <v>3</v>
      </c>
      <c r="V93" s="3">
        <v>2</v>
      </c>
      <c r="X93" s="2" t="s">
        <v>1631</v>
      </c>
      <c r="Y93" s="18">
        <v>1</v>
      </c>
      <c r="Z93" s="18">
        <v>0</v>
      </c>
      <c r="AA93" s="18">
        <v>1</v>
      </c>
      <c r="AB93" s="18">
        <v>1</v>
      </c>
      <c r="AC93" s="18">
        <v>0</v>
      </c>
      <c r="AD93" s="18">
        <v>5</v>
      </c>
      <c r="AE93" s="18">
        <v>1</v>
      </c>
      <c r="AN93" s="3">
        <v>9</v>
      </c>
      <c r="AO93" s="3">
        <v>12</v>
      </c>
      <c r="AP93" s="3">
        <v>0</v>
      </c>
      <c r="AR93" s="2" t="s">
        <v>1564</v>
      </c>
    </row>
    <row r="94" spans="1:44" ht="12.75" customHeight="1">
      <c r="A94" s="4">
        <f>DATE(89,4,20)</f>
        <v>32618</v>
      </c>
      <c r="C94" s="2" t="s">
        <v>374</v>
      </c>
      <c r="E94" s="18">
        <v>3</v>
      </c>
      <c r="F94" s="18">
        <v>2</v>
      </c>
      <c r="G94" s="18">
        <v>0</v>
      </c>
      <c r="H94" s="18">
        <v>0</v>
      </c>
      <c r="I94" s="18">
        <v>0</v>
      </c>
      <c r="J94" s="18">
        <v>1</v>
      </c>
      <c r="K94" s="18" t="s">
        <v>162</v>
      </c>
      <c r="T94" s="3">
        <v>6</v>
      </c>
      <c r="U94" s="3">
        <v>11</v>
      </c>
      <c r="V94" s="3">
        <v>0</v>
      </c>
      <c r="X94" s="2" t="s">
        <v>1636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2</v>
      </c>
      <c r="AE94" s="18">
        <v>0</v>
      </c>
      <c r="AN94" s="3">
        <v>2</v>
      </c>
      <c r="AO94" s="3">
        <v>4</v>
      </c>
      <c r="AP94" s="3">
        <v>3</v>
      </c>
      <c r="AR94" s="2" t="s">
        <v>1643</v>
      </c>
    </row>
    <row r="95" spans="1:44" ht="12.75" customHeight="1">
      <c r="A95" s="4">
        <f>DATE(89,5,22)</f>
        <v>32650</v>
      </c>
      <c r="B95" s="2" t="s">
        <v>152</v>
      </c>
      <c r="C95" s="2" t="s">
        <v>374</v>
      </c>
      <c r="E95" s="18" t="s">
        <v>162</v>
      </c>
      <c r="F95" s="18" t="s">
        <v>162</v>
      </c>
      <c r="G95" s="18" t="s">
        <v>162</v>
      </c>
      <c r="H95" s="18" t="s">
        <v>162</v>
      </c>
      <c r="I95" s="18" t="s">
        <v>162</v>
      </c>
      <c r="J95" s="18" t="s">
        <v>162</v>
      </c>
      <c r="K95" s="18" t="s">
        <v>162</v>
      </c>
      <c r="T95" s="3">
        <v>7</v>
      </c>
      <c r="U95" s="3" t="s">
        <v>162</v>
      </c>
      <c r="V95" s="3" t="s">
        <v>162</v>
      </c>
      <c r="W95" s="3"/>
      <c r="X95" s="2" t="s">
        <v>246</v>
      </c>
      <c r="Y95" s="18" t="s">
        <v>162</v>
      </c>
      <c r="Z95" s="18" t="s">
        <v>162</v>
      </c>
      <c r="AA95" s="18" t="s">
        <v>162</v>
      </c>
      <c r="AB95" s="18" t="s">
        <v>162</v>
      </c>
      <c r="AC95" s="18" t="s">
        <v>162</v>
      </c>
      <c r="AD95" s="18" t="s">
        <v>162</v>
      </c>
      <c r="AE95" s="18" t="s">
        <v>162</v>
      </c>
      <c r="AN95" s="3">
        <v>0</v>
      </c>
      <c r="AO95" s="3" t="s">
        <v>162</v>
      </c>
      <c r="AP95" s="3" t="s">
        <v>162</v>
      </c>
      <c r="AQ95" s="3"/>
      <c r="AR95" s="2" t="s">
        <v>246</v>
      </c>
    </row>
    <row r="96" spans="1:44" ht="12.75" customHeight="1">
      <c r="A96" s="4">
        <f>DATE(90,4,23)</f>
        <v>32986</v>
      </c>
      <c r="C96" s="2" t="s">
        <v>374</v>
      </c>
      <c r="E96" s="18">
        <v>0</v>
      </c>
      <c r="F96" s="18">
        <v>0</v>
      </c>
      <c r="G96" s="18">
        <v>7</v>
      </c>
      <c r="H96" s="18">
        <v>0</v>
      </c>
      <c r="I96" s="18">
        <v>3</v>
      </c>
      <c r="T96" s="3">
        <v>10</v>
      </c>
      <c r="U96" s="3">
        <v>9</v>
      </c>
      <c r="V96" s="3">
        <v>2</v>
      </c>
      <c r="X96" s="2" t="s">
        <v>1689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N96" s="3">
        <v>0</v>
      </c>
      <c r="AO96" s="3">
        <v>1</v>
      </c>
      <c r="AP96" s="3">
        <v>2</v>
      </c>
      <c r="AR96" s="2" t="s">
        <v>1693</v>
      </c>
    </row>
    <row r="97" spans="1:44" ht="12.75" customHeight="1">
      <c r="A97" s="4">
        <f>DATE(90,5,19)</f>
        <v>33012</v>
      </c>
      <c r="B97" s="2" t="s">
        <v>152</v>
      </c>
      <c r="C97" s="2" t="s">
        <v>374</v>
      </c>
      <c r="E97" s="18">
        <v>0</v>
      </c>
      <c r="F97" s="18">
        <v>4</v>
      </c>
      <c r="G97" s="18">
        <v>2</v>
      </c>
      <c r="H97" s="18">
        <v>5</v>
      </c>
      <c r="I97" s="18">
        <v>0</v>
      </c>
      <c r="T97" s="3">
        <v>11</v>
      </c>
      <c r="U97" s="3">
        <v>11</v>
      </c>
      <c r="V97" s="3">
        <v>0</v>
      </c>
      <c r="X97" s="2" t="s">
        <v>1697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N97" s="3">
        <v>0</v>
      </c>
      <c r="AO97" s="3">
        <v>4</v>
      </c>
      <c r="AP97" s="3">
        <v>3</v>
      </c>
      <c r="AR97" s="2" t="s">
        <v>1708</v>
      </c>
    </row>
    <row r="98" spans="1:44" ht="12.75" customHeight="1">
      <c r="A98" s="4">
        <f>DATE(91,4,12)</f>
        <v>33340</v>
      </c>
      <c r="B98" s="2" t="s">
        <v>152</v>
      </c>
      <c r="C98" s="2" t="s">
        <v>374</v>
      </c>
      <c r="E98" s="18">
        <v>1</v>
      </c>
      <c r="F98" s="18">
        <v>0</v>
      </c>
      <c r="G98" s="18">
        <v>0</v>
      </c>
      <c r="H98" s="18">
        <v>0</v>
      </c>
      <c r="I98" s="18">
        <v>5</v>
      </c>
      <c r="J98" s="18">
        <v>0</v>
      </c>
      <c r="K98" s="18">
        <v>0</v>
      </c>
      <c r="L98" s="18">
        <v>4</v>
      </c>
      <c r="T98" s="3">
        <v>10</v>
      </c>
      <c r="U98" s="3">
        <v>14</v>
      </c>
      <c r="V98" s="3">
        <v>3</v>
      </c>
      <c r="X98" s="2" t="s">
        <v>1725</v>
      </c>
      <c r="Y98" s="18">
        <v>2</v>
      </c>
      <c r="Z98" s="18">
        <v>0</v>
      </c>
      <c r="AA98" s="18">
        <v>0</v>
      </c>
      <c r="AB98" s="18">
        <v>0</v>
      </c>
      <c r="AC98" s="18">
        <v>3</v>
      </c>
      <c r="AD98" s="18">
        <v>0</v>
      </c>
      <c r="AE98" s="18">
        <v>1</v>
      </c>
      <c r="AF98" s="18">
        <v>0</v>
      </c>
      <c r="AN98" s="3">
        <v>6</v>
      </c>
      <c r="AO98" s="3">
        <v>10</v>
      </c>
      <c r="AP98" s="3">
        <v>0</v>
      </c>
      <c r="AR98" s="2" t="s">
        <v>1726</v>
      </c>
    </row>
    <row r="99" spans="1:44" ht="12.75" customHeight="1">
      <c r="A99" s="4">
        <f>DATE(91,4,26)</f>
        <v>33354</v>
      </c>
      <c r="C99" s="2" t="s">
        <v>374</v>
      </c>
      <c r="E99" s="18">
        <v>0</v>
      </c>
      <c r="F99" s="18">
        <v>2</v>
      </c>
      <c r="G99" s="18">
        <v>1</v>
      </c>
      <c r="H99" s="18">
        <v>2</v>
      </c>
      <c r="I99" s="18">
        <v>0</v>
      </c>
      <c r="J99" s="18">
        <v>0</v>
      </c>
      <c r="K99" s="18">
        <v>2</v>
      </c>
      <c r="T99" s="3">
        <v>7</v>
      </c>
      <c r="U99" s="3">
        <v>8</v>
      </c>
      <c r="V99" s="3">
        <v>1</v>
      </c>
      <c r="X99" s="2" t="s">
        <v>1732</v>
      </c>
      <c r="Y99" s="18">
        <v>4</v>
      </c>
      <c r="Z99" s="18">
        <v>0</v>
      </c>
      <c r="AA99" s="18">
        <v>3</v>
      </c>
      <c r="AB99" s="18">
        <v>0</v>
      </c>
      <c r="AC99" s="18">
        <v>3</v>
      </c>
      <c r="AD99" s="18">
        <v>0</v>
      </c>
      <c r="AE99" s="18">
        <v>0</v>
      </c>
      <c r="AN99" s="3">
        <v>10</v>
      </c>
      <c r="AO99" s="3">
        <v>8</v>
      </c>
      <c r="AP99" s="3">
        <v>1</v>
      </c>
      <c r="AR99" s="2" t="s">
        <v>1733</v>
      </c>
    </row>
    <row r="100" spans="1:44" ht="12.75" customHeight="1">
      <c r="A100" s="4">
        <f>DATE(92,4,14)</f>
        <v>33708</v>
      </c>
      <c r="B100" s="2" t="s">
        <v>152</v>
      </c>
      <c r="C100" s="2" t="s">
        <v>374</v>
      </c>
      <c r="E100" s="18">
        <v>7</v>
      </c>
      <c r="F100" s="18">
        <v>0</v>
      </c>
      <c r="G100" s="18">
        <v>0</v>
      </c>
      <c r="H100" s="18">
        <v>7</v>
      </c>
      <c r="I100" s="18">
        <v>0</v>
      </c>
      <c r="J100" s="18">
        <v>1</v>
      </c>
      <c r="K100" s="18">
        <v>0</v>
      </c>
      <c r="T100" s="3">
        <v>15</v>
      </c>
      <c r="U100" s="3">
        <v>14</v>
      </c>
      <c r="V100" s="3">
        <v>4</v>
      </c>
      <c r="X100" s="2" t="s">
        <v>1787</v>
      </c>
      <c r="Y100" s="18">
        <v>2</v>
      </c>
      <c r="Z100" s="18">
        <v>0</v>
      </c>
      <c r="AA100" s="18">
        <v>2</v>
      </c>
      <c r="AB100" s="18">
        <v>0</v>
      </c>
      <c r="AC100" s="18">
        <v>1</v>
      </c>
      <c r="AD100" s="18">
        <v>1</v>
      </c>
      <c r="AE100" s="18">
        <v>2</v>
      </c>
      <c r="AN100" s="3">
        <f aca="true" t="shared" si="3" ref="AN100:AN105">SUM(Y100:AM100)</f>
        <v>8</v>
      </c>
      <c r="AO100" s="3">
        <v>10</v>
      </c>
      <c r="AP100" s="3">
        <v>2</v>
      </c>
      <c r="AR100" s="2" t="s">
        <v>1788</v>
      </c>
    </row>
    <row r="101" spans="1:44" ht="12.75" customHeight="1">
      <c r="A101" s="4">
        <f>DATE(92,5,1)</f>
        <v>33725</v>
      </c>
      <c r="C101" s="2" t="s">
        <v>374</v>
      </c>
      <c r="E101" s="18">
        <v>8</v>
      </c>
      <c r="F101" s="18">
        <v>0</v>
      </c>
      <c r="G101" s="18">
        <v>1</v>
      </c>
      <c r="H101" s="18">
        <v>0</v>
      </c>
      <c r="I101" s="18">
        <v>0</v>
      </c>
      <c r="J101" s="18">
        <v>3</v>
      </c>
      <c r="T101" s="3">
        <v>12</v>
      </c>
      <c r="U101" s="3">
        <v>14</v>
      </c>
      <c r="V101" s="3">
        <v>0</v>
      </c>
      <c r="X101" s="2" t="s">
        <v>1796</v>
      </c>
      <c r="Y101" s="18">
        <v>0</v>
      </c>
      <c r="Z101" s="18">
        <v>1</v>
      </c>
      <c r="AA101" s="18">
        <v>0</v>
      </c>
      <c r="AB101" s="18">
        <v>0</v>
      </c>
      <c r="AC101" s="18">
        <v>0</v>
      </c>
      <c r="AD101" s="18">
        <v>0</v>
      </c>
      <c r="AN101" s="3">
        <f t="shared" si="3"/>
        <v>1</v>
      </c>
      <c r="AO101" s="3">
        <v>6</v>
      </c>
      <c r="AP101" s="3">
        <v>4</v>
      </c>
      <c r="AR101" s="2" t="s">
        <v>1797</v>
      </c>
    </row>
    <row r="102" spans="1:44" ht="12.75" customHeight="1">
      <c r="A102" s="4">
        <f>DATE(93,4,7)</f>
        <v>34066</v>
      </c>
      <c r="C102" s="2" t="s">
        <v>374</v>
      </c>
      <c r="E102" s="18">
        <v>7</v>
      </c>
      <c r="F102" s="18">
        <v>6</v>
      </c>
      <c r="G102" s="18">
        <v>0</v>
      </c>
      <c r="H102" s="18">
        <v>0</v>
      </c>
      <c r="I102" s="18">
        <v>2</v>
      </c>
      <c r="T102" s="3">
        <f aca="true" t="shared" si="4" ref="T102:T139">SUM(E102:S102)</f>
        <v>15</v>
      </c>
      <c r="U102" s="3">
        <v>8</v>
      </c>
      <c r="V102" s="3">
        <v>1</v>
      </c>
      <c r="X102" s="2" t="s">
        <v>1813</v>
      </c>
      <c r="Y102" s="18">
        <v>1</v>
      </c>
      <c r="Z102" s="18">
        <v>4</v>
      </c>
      <c r="AA102" s="18">
        <v>0</v>
      </c>
      <c r="AB102" s="18">
        <v>0</v>
      </c>
      <c r="AC102" s="18">
        <v>0</v>
      </c>
      <c r="AN102" s="3">
        <f t="shared" si="3"/>
        <v>5</v>
      </c>
      <c r="AO102" s="3">
        <v>4</v>
      </c>
      <c r="AP102" s="3">
        <v>4</v>
      </c>
      <c r="AR102" s="2" t="s">
        <v>1814</v>
      </c>
    </row>
    <row r="103" spans="1:44" ht="12.75" customHeight="1">
      <c r="A103" s="4">
        <f>DATE(93,5,13)</f>
        <v>34102</v>
      </c>
      <c r="B103" s="2" t="s">
        <v>152</v>
      </c>
      <c r="C103" s="2" t="s">
        <v>374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3</v>
      </c>
      <c r="K103" s="18">
        <v>6</v>
      </c>
      <c r="T103" s="3">
        <f t="shared" si="4"/>
        <v>9</v>
      </c>
      <c r="U103" s="3">
        <v>10</v>
      </c>
      <c r="V103" s="3">
        <v>2</v>
      </c>
      <c r="X103" s="2" t="s">
        <v>1840</v>
      </c>
      <c r="Y103" s="18">
        <v>0</v>
      </c>
      <c r="Z103" s="18">
        <v>1</v>
      </c>
      <c r="AA103" s="18">
        <v>1</v>
      </c>
      <c r="AB103" s="18">
        <v>0</v>
      </c>
      <c r="AC103" s="18">
        <v>0</v>
      </c>
      <c r="AD103" s="18">
        <v>0</v>
      </c>
      <c r="AE103" s="18">
        <v>1</v>
      </c>
      <c r="AN103" s="3">
        <f t="shared" si="3"/>
        <v>3</v>
      </c>
      <c r="AO103" s="3">
        <v>9</v>
      </c>
      <c r="AP103" s="3">
        <v>0</v>
      </c>
      <c r="AR103" s="2" t="s">
        <v>1841</v>
      </c>
    </row>
    <row r="104" spans="1:44" ht="12.75" customHeight="1">
      <c r="A104" s="4">
        <f>DATE(94,4,8)</f>
        <v>34432</v>
      </c>
      <c r="B104" s="2" t="s">
        <v>152</v>
      </c>
      <c r="C104" s="2" t="s">
        <v>374</v>
      </c>
      <c r="E104" s="18">
        <v>3</v>
      </c>
      <c r="F104" s="18">
        <v>0</v>
      </c>
      <c r="G104" s="18">
        <v>3</v>
      </c>
      <c r="H104" s="18">
        <v>1</v>
      </c>
      <c r="I104" s="18">
        <v>2</v>
      </c>
      <c r="J104" s="18">
        <v>0</v>
      </c>
      <c r="K104" s="18">
        <v>0</v>
      </c>
      <c r="T104" s="3">
        <f t="shared" si="4"/>
        <v>9</v>
      </c>
      <c r="U104" s="3">
        <v>9</v>
      </c>
      <c r="V104" s="3">
        <v>0</v>
      </c>
      <c r="X104" s="2" t="s">
        <v>1824</v>
      </c>
      <c r="Y104" s="18">
        <v>0</v>
      </c>
      <c r="Z104" s="18">
        <v>0</v>
      </c>
      <c r="AA104" s="18">
        <v>1</v>
      </c>
      <c r="AB104" s="18">
        <v>0</v>
      </c>
      <c r="AC104" s="18">
        <v>2</v>
      </c>
      <c r="AD104" s="18">
        <v>0</v>
      </c>
      <c r="AE104" s="18">
        <v>0</v>
      </c>
      <c r="AN104" s="3">
        <f t="shared" si="3"/>
        <v>3</v>
      </c>
      <c r="AO104" s="3">
        <v>4</v>
      </c>
      <c r="AP104" s="3">
        <v>2</v>
      </c>
      <c r="AR104" s="2" t="s">
        <v>1847</v>
      </c>
    </row>
    <row r="105" spans="1:44" ht="12.75" customHeight="1">
      <c r="A105" s="4">
        <f>DATE(94,5,17)</f>
        <v>34471</v>
      </c>
      <c r="C105" s="2" t="s">
        <v>374</v>
      </c>
      <c r="E105" s="18">
        <v>3</v>
      </c>
      <c r="F105" s="18">
        <v>1</v>
      </c>
      <c r="G105" s="18">
        <v>0</v>
      </c>
      <c r="H105" s="18">
        <v>0</v>
      </c>
      <c r="I105" s="18">
        <v>5</v>
      </c>
      <c r="J105" s="18">
        <v>1</v>
      </c>
      <c r="K105" s="18" t="s">
        <v>162</v>
      </c>
      <c r="T105" s="3">
        <f t="shared" si="4"/>
        <v>10</v>
      </c>
      <c r="U105" s="3">
        <v>10</v>
      </c>
      <c r="V105" s="3">
        <v>2</v>
      </c>
      <c r="X105" s="2" t="s">
        <v>1853</v>
      </c>
      <c r="Y105" s="18">
        <v>1</v>
      </c>
      <c r="Z105" s="18">
        <v>0</v>
      </c>
      <c r="AA105" s="18">
        <v>5</v>
      </c>
      <c r="AB105" s="18">
        <v>0</v>
      </c>
      <c r="AC105" s="18">
        <v>0</v>
      </c>
      <c r="AD105" s="18">
        <v>0</v>
      </c>
      <c r="AE105" s="18">
        <v>0</v>
      </c>
      <c r="AN105" s="3">
        <f t="shared" si="3"/>
        <v>6</v>
      </c>
      <c r="AO105" s="3">
        <v>5</v>
      </c>
      <c r="AP105" s="3">
        <v>1</v>
      </c>
      <c r="AR105" s="2" t="s">
        <v>1874</v>
      </c>
    </row>
    <row r="106" spans="1:44" ht="12.75" customHeight="1">
      <c r="A106" s="4">
        <f>DATE(95,4,11)</f>
        <v>34800</v>
      </c>
      <c r="B106" s="2" t="s">
        <v>152</v>
      </c>
      <c r="C106" s="2" t="s">
        <v>374</v>
      </c>
      <c r="E106" s="18">
        <v>0</v>
      </c>
      <c r="F106" s="18">
        <v>0</v>
      </c>
      <c r="G106" s="18">
        <v>0</v>
      </c>
      <c r="H106" s="18">
        <v>1</v>
      </c>
      <c r="I106" s="18">
        <v>2</v>
      </c>
      <c r="J106" s="18">
        <v>1</v>
      </c>
      <c r="K106" s="18">
        <v>0</v>
      </c>
      <c r="T106" s="3">
        <f t="shared" si="4"/>
        <v>4</v>
      </c>
      <c r="U106" s="3">
        <v>5</v>
      </c>
      <c r="V106" s="3">
        <v>1</v>
      </c>
      <c r="X106" s="2" t="s">
        <v>1856</v>
      </c>
      <c r="Y106" s="18">
        <v>0</v>
      </c>
      <c r="Z106" s="18">
        <v>0</v>
      </c>
      <c r="AA106" s="18">
        <v>0</v>
      </c>
      <c r="AB106" s="18">
        <v>0</v>
      </c>
      <c r="AC106" s="18">
        <v>1</v>
      </c>
      <c r="AD106" s="18">
        <v>2</v>
      </c>
      <c r="AE106" s="18">
        <v>0</v>
      </c>
      <c r="AN106" s="3">
        <v>3</v>
      </c>
      <c r="AO106" s="3">
        <v>6</v>
      </c>
      <c r="AP106" s="3">
        <v>2</v>
      </c>
      <c r="AR106" s="2" t="s">
        <v>1883</v>
      </c>
    </row>
    <row r="107" spans="1:44" ht="12.75" customHeight="1">
      <c r="A107" s="4">
        <f>DATE(95,4,28)</f>
        <v>34817</v>
      </c>
      <c r="C107" s="2" t="s">
        <v>374</v>
      </c>
      <c r="E107" s="18">
        <v>0</v>
      </c>
      <c r="F107" s="18">
        <v>5</v>
      </c>
      <c r="G107" s="18">
        <v>0</v>
      </c>
      <c r="H107" s="18">
        <v>3</v>
      </c>
      <c r="I107" s="18">
        <v>0</v>
      </c>
      <c r="J107" s="18">
        <v>0</v>
      </c>
      <c r="K107" s="18" t="s">
        <v>162</v>
      </c>
      <c r="T107" s="3">
        <f t="shared" si="4"/>
        <v>8</v>
      </c>
      <c r="U107" s="3">
        <v>9</v>
      </c>
      <c r="V107" s="3">
        <v>0</v>
      </c>
      <c r="X107" s="2" t="s">
        <v>1893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N107" s="3">
        <f aca="true" t="shared" si="5" ref="AN107:AN139">SUM(Y107:AM107)</f>
        <v>0</v>
      </c>
      <c r="AO107" s="3">
        <v>3</v>
      </c>
      <c r="AP107" s="3">
        <v>0</v>
      </c>
      <c r="AR107" s="2" t="s">
        <v>1894</v>
      </c>
    </row>
    <row r="108" spans="1:44" ht="12.75" customHeight="1">
      <c r="A108" s="4">
        <v>35170</v>
      </c>
      <c r="B108" s="2" t="s">
        <v>152</v>
      </c>
      <c r="C108" s="2" t="s">
        <v>374</v>
      </c>
      <c r="E108" s="18">
        <v>0</v>
      </c>
      <c r="F108" s="18">
        <v>0</v>
      </c>
      <c r="G108" s="18">
        <v>1</v>
      </c>
      <c r="H108" s="18">
        <v>0</v>
      </c>
      <c r="I108" s="18">
        <v>0</v>
      </c>
      <c r="J108" s="18">
        <v>0</v>
      </c>
      <c r="T108" s="3">
        <f t="shared" si="4"/>
        <v>1</v>
      </c>
      <c r="U108" s="3">
        <v>4</v>
      </c>
      <c r="V108" s="3">
        <v>0</v>
      </c>
      <c r="X108" s="2" t="s">
        <v>1264</v>
      </c>
      <c r="Y108" s="18">
        <v>2</v>
      </c>
      <c r="Z108" s="18">
        <v>0</v>
      </c>
      <c r="AA108" s="18">
        <v>1</v>
      </c>
      <c r="AB108" s="18">
        <v>5</v>
      </c>
      <c r="AC108" s="18">
        <v>0</v>
      </c>
      <c r="AD108" s="18">
        <v>3</v>
      </c>
      <c r="AN108" s="3">
        <f t="shared" si="5"/>
        <v>11</v>
      </c>
      <c r="AO108" s="3">
        <v>6</v>
      </c>
      <c r="AP108" s="3">
        <v>0</v>
      </c>
      <c r="AR108" s="2" t="s">
        <v>1277</v>
      </c>
    </row>
    <row r="109" spans="1:44" ht="12.75" customHeight="1">
      <c r="A109" s="4">
        <v>35181</v>
      </c>
      <c r="C109" s="2" t="s">
        <v>374</v>
      </c>
      <c r="E109" s="18">
        <v>0</v>
      </c>
      <c r="F109" s="18">
        <v>1</v>
      </c>
      <c r="G109" s="18">
        <v>1</v>
      </c>
      <c r="H109" s="18">
        <v>0</v>
      </c>
      <c r="I109" s="18">
        <v>3</v>
      </c>
      <c r="J109" s="18">
        <v>0</v>
      </c>
      <c r="K109" s="18">
        <v>0</v>
      </c>
      <c r="T109" s="3">
        <f t="shared" si="4"/>
        <v>5</v>
      </c>
      <c r="U109" s="3">
        <v>8</v>
      </c>
      <c r="V109" s="3">
        <v>3</v>
      </c>
      <c r="X109" s="2" t="s">
        <v>1267</v>
      </c>
      <c r="Y109" s="18">
        <v>0</v>
      </c>
      <c r="Z109" s="18">
        <v>0</v>
      </c>
      <c r="AA109" s="18">
        <v>0</v>
      </c>
      <c r="AB109" s="18">
        <v>1</v>
      </c>
      <c r="AC109" s="18">
        <v>0</v>
      </c>
      <c r="AD109" s="18">
        <v>1</v>
      </c>
      <c r="AE109" s="18">
        <v>0</v>
      </c>
      <c r="AN109" s="3">
        <f t="shared" si="5"/>
        <v>2</v>
      </c>
      <c r="AO109" s="3">
        <v>2</v>
      </c>
      <c r="AP109" s="3">
        <v>0</v>
      </c>
      <c r="AR109" s="2" t="s">
        <v>1282</v>
      </c>
    </row>
    <row r="110" spans="1:44" ht="12.75" customHeight="1">
      <c r="A110" s="9">
        <f>DATE(1997,4,15)</f>
        <v>35535</v>
      </c>
      <c r="B110" s="2" t="s">
        <v>152</v>
      </c>
      <c r="C110" s="2" t="s">
        <v>374</v>
      </c>
      <c r="E110" s="18">
        <v>0</v>
      </c>
      <c r="F110" s="18">
        <v>0</v>
      </c>
      <c r="G110" s="18">
        <v>0</v>
      </c>
      <c r="H110" s="18">
        <v>3</v>
      </c>
      <c r="I110" s="18">
        <v>2</v>
      </c>
      <c r="J110" s="18">
        <v>2</v>
      </c>
      <c r="K110" s="18">
        <v>0</v>
      </c>
      <c r="L110" s="18">
        <v>0</v>
      </c>
      <c r="T110" s="3">
        <f t="shared" si="4"/>
        <v>7</v>
      </c>
      <c r="U110" s="3">
        <v>13</v>
      </c>
      <c r="V110" s="3">
        <v>7</v>
      </c>
      <c r="X110" s="2" t="s">
        <v>435</v>
      </c>
      <c r="Y110" s="18">
        <v>3</v>
      </c>
      <c r="Z110" s="18">
        <v>0</v>
      </c>
      <c r="AA110" s="18">
        <v>0</v>
      </c>
      <c r="AB110" s="18">
        <v>1</v>
      </c>
      <c r="AC110" s="18">
        <v>1</v>
      </c>
      <c r="AD110" s="18">
        <v>2</v>
      </c>
      <c r="AE110" s="18">
        <v>0</v>
      </c>
      <c r="AF110" s="18">
        <v>1</v>
      </c>
      <c r="AN110" s="3">
        <f t="shared" si="5"/>
        <v>8</v>
      </c>
      <c r="AO110" s="3">
        <v>13</v>
      </c>
      <c r="AP110" s="3">
        <v>5</v>
      </c>
      <c r="AR110" s="2" t="s">
        <v>436</v>
      </c>
    </row>
    <row r="111" spans="1:44" ht="12.75" customHeight="1">
      <c r="A111" s="9">
        <f>DATE(1997,5,1)</f>
        <v>35551</v>
      </c>
      <c r="C111" s="2" t="s">
        <v>374</v>
      </c>
      <c r="E111" s="18">
        <v>0</v>
      </c>
      <c r="F111" s="18">
        <v>1</v>
      </c>
      <c r="G111" s="18">
        <v>2</v>
      </c>
      <c r="H111" s="18">
        <v>0</v>
      </c>
      <c r="I111" s="18">
        <v>2</v>
      </c>
      <c r="J111" s="18">
        <v>2</v>
      </c>
      <c r="K111" s="18" t="s">
        <v>162</v>
      </c>
      <c r="T111" s="3">
        <f t="shared" si="4"/>
        <v>7</v>
      </c>
      <c r="U111" s="3">
        <v>10</v>
      </c>
      <c r="V111" s="3">
        <v>4</v>
      </c>
      <c r="X111" s="2" t="s">
        <v>450</v>
      </c>
      <c r="Y111" s="18">
        <v>2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1</v>
      </c>
      <c r="AN111" s="3">
        <f t="shared" si="5"/>
        <v>3</v>
      </c>
      <c r="AO111" s="3">
        <v>2</v>
      </c>
      <c r="AP111" s="3">
        <v>1</v>
      </c>
      <c r="AR111" s="2" t="s">
        <v>451</v>
      </c>
    </row>
    <row r="112" spans="1:44" ht="12.75" customHeight="1">
      <c r="A112" s="4">
        <v>35885</v>
      </c>
      <c r="B112" s="2" t="s">
        <v>152</v>
      </c>
      <c r="C112" s="2" t="s">
        <v>374</v>
      </c>
      <c r="E112" s="18">
        <v>0</v>
      </c>
      <c r="F112" s="18">
        <v>1</v>
      </c>
      <c r="G112" s="18">
        <v>0</v>
      </c>
      <c r="H112" s="18">
        <v>0</v>
      </c>
      <c r="I112" s="18">
        <v>2</v>
      </c>
      <c r="J112" s="18">
        <v>1</v>
      </c>
      <c r="K112" s="18">
        <v>2</v>
      </c>
      <c r="T112" s="3">
        <f t="shared" si="4"/>
        <v>6</v>
      </c>
      <c r="U112" s="3">
        <v>8</v>
      </c>
      <c r="V112" s="3">
        <v>5</v>
      </c>
      <c r="X112" s="2" t="s">
        <v>1992</v>
      </c>
      <c r="Y112" s="18">
        <v>3</v>
      </c>
      <c r="Z112" s="18">
        <v>2</v>
      </c>
      <c r="AA112" s="18">
        <v>5</v>
      </c>
      <c r="AB112" s="18">
        <v>0</v>
      </c>
      <c r="AC112" s="18">
        <v>0</v>
      </c>
      <c r="AD112" s="18">
        <v>2</v>
      </c>
      <c r="AN112" s="3">
        <f t="shared" si="5"/>
        <v>12</v>
      </c>
      <c r="AO112" s="3">
        <v>10</v>
      </c>
      <c r="AP112" s="3">
        <v>5</v>
      </c>
      <c r="AR112" s="2" t="s">
        <v>1998</v>
      </c>
    </row>
    <row r="113" spans="1:44" ht="12.75" customHeight="1">
      <c r="A113" s="5">
        <v>36289</v>
      </c>
      <c r="C113" s="2" t="s">
        <v>374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T113" s="3">
        <f t="shared" si="4"/>
        <v>0</v>
      </c>
      <c r="U113" s="3">
        <v>0</v>
      </c>
      <c r="V113" s="3">
        <v>0</v>
      </c>
      <c r="X113" s="2" t="s">
        <v>502</v>
      </c>
      <c r="Y113" s="18">
        <v>0</v>
      </c>
      <c r="Z113" s="18">
        <v>0</v>
      </c>
      <c r="AA113" s="18">
        <v>0</v>
      </c>
      <c r="AB113" s="18">
        <v>1</v>
      </c>
      <c r="AC113" s="18">
        <v>0</v>
      </c>
      <c r="AD113" s="18">
        <v>0</v>
      </c>
      <c r="AE113" s="18">
        <v>0</v>
      </c>
      <c r="AN113" s="3">
        <f t="shared" si="5"/>
        <v>1</v>
      </c>
      <c r="AO113" s="3">
        <v>3</v>
      </c>
      <c r="AP113" s="3">
        <v>0</v>
      </c>
      <c r="AR113" s="2" t="s">
        <v>2396</v>
      </c>
    </row>
    <row r="114" spans="1:44" ht="12.75" customHeight="1">
      <c r="A114" s="4">
        <v>36650</v>
      </c>
      <c r="B114" s="2" t="s">
        <v>152</v>
      </c>
      <c r="C114" s="2" t="s">
        <v>374</v>
      </c>
      <c r="E114" s="18">
        <v>1</v>
      </c>
      <c r="F114" s="18">
        <v>1</v>
      </c>
      <c r="G114" s="18">
        <v>1</v>
      </c>
      <c r="H114" s="18">
        <v>3</v>
      </c>
      <c r="I114" s="18">
        <v>0</v>
      </c>
      <c r="J114" s="18">
        <v>1</v>
      </c>
      <c r="K114" s="18">
        <v>1</v>
      </c>
      <c r="T114" s="3">
        <f t="shared" si="4"/>
        <v>8</v>
      </c>
      <c r="U114" s="3">
        <v>9</v>
      </c>
      <c r="V114" s="3">
        <v>1</v>
      </c>
      <c r="X114" s="2" t="s">
        <v>20</v>
      </c>
      <c r="Y114" s="18">
        <v>0</v>
      </c>
      <c r="Z114" s="18">
        <v>0</v>
      </c>
      <c r="AA114" s="18">
        <v>1</v>
      </c>
      <c r="AB114" s="18">
        <v>3</v>
      </c>
      <c r="AC114" s="18">
        <v>0</v>
      </c>
      <c r="AD114" s="18">
        <v>0</v>
      </c>
      <c r="AE114" s="18">
        <v>0</v>
      </c>
      <c r="AN114" s="3">
        <f t="shared" si="5"/>
        <v>4</v>
      </c>
      <c r="AO114" s="3">
        <v>5</v>
      </c>
      <c r="AP114" s="3">
        <v>3</v>
      </c>
      <c r="AR114" s="2" t="s">
        <v>84</v>
      </c>
    </row>
    <row r="115" spans="1:44" ht="12.75" customHeight="1">
      <c r="A115" s="5">
        <v>37012</v>
      </c>
      <c r="C115" s="2" t="s">
        <v>374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T115" s="3">
        <f t="shared" si="4"/>
        <v>0</v>
      </c>
      <c r="U115" s="3">
        <v>1</v>
      </c>
      <c r="V115" s="3">
        <v>4</v>
      </c>
      <c r="X115" s="2" t="s">
        <v>97</v>
      </c>
      <c r="Y115" s="18">
        <v>0</v>
      </c>
      <c r="Z115" s="18">
        <v>0</v>
      </c>
      <c r="AA115" s="18">
        <v>2</v>
      </c>
      <c r="AB115" s="18">
        <v>0</v>
      </c>
      <c r="AC115" s="18">
        <v>0</v>
      </c>
      <c r="AD115" s="18">
        <v>8</v>
      </c>
      <c r="AN115" s="3">
        <f t="shared" si="5"/>
        <v>10</v>
      </c>
      <c r="AO115" s="3">
        <v>13</v>
      </c>
      <c r="AP115" s="3">
        <v>1</v>
      </c>
      <c r="AR115" s="2" t="s">
        <v>112</v>
      </c>
    </row>
    <row r="116" spans="1:44" ht="12.75" customHeight="1">
      <c r="A116" s="8">
        <v>37379</v>
      </c>
      <c r="B116" s="2" t="s">
        <v>152</v>
      </c>
      <c r="C116" s="2" t="s">
        <v>374</v>
      </c>
      <c r="E116" s="18">
        <v>0</v>
      </c>
      <c r="F116" s="18">
        <v>1</v>
      </c>
      <c r="G116" s="18">
        <v>0</v>
      </c>
      <c r="H116" s="18">
        <v>4</v>
      </c>
      <c r="I116" s="18">
        <v>5</v>
      </c>
      <c r="J116" s="18">
        <v>4</v>
      </c>
      <c r="T116" s="3">
        <f t="shared" si="4"/>
        <v>14</v>
      </c>
      <c r="U116" s="3">
        <v>19</v>
      </c>
      <c r="V116" s="3">
        <v>1</v>
      </c>
      <c r="X116" s="2" t="s">
        <v>1110</v>
      </c>
      <c r="Y116" s="18">
        <v>1</v>
      </c>
      <c r="Z116" s="18">
        <v>1</v>
      </c>
      <c r="AA116" s="18">
        <v>0</v>
      </c>
      <c r="AB116" s="18">
        <v>0</v>
      </c>
      <c r="AC116" s="18">
        <v>0</v>
      </c>
      <c r="AD116" s="18">
        <v>0</v>
      </c>
      <c r="AN116" s="3">
        <f t="shared" si="5"/>
        <v>2</v>
      </c>
      <c r="AO116" s="3">
        <v>5</v>
      </c>
      <c r="AP116" s="3">
        <v>1</v>
      </c>
      <c r="AR116" s="2" t="s">
        <v>1117</v>
      </c>
    </row>
    <row r="117" spans="1:44" ht="12.75" customHeight="1">
      <c r="A117" s="8">
        <v>37742</v>
      </c>
      <c r="C117" s="2" t="s">
        <v>374</v>
      </c>
      <c r="E117" s="18">
        <v>0</v>
      </c>
      <c r="F117" s="18">
        <v>1</v>
      </c>
      <c r="G117" s="18">
        <v>0</v>
      </c>
      <c r="H117" s="18">
        <v>0</v>
      </c>
      <c r="I117" s="18">
        <v>1</v>
      </c>
      <c r="J117" s="18">
        <v>5</v>
      </c>
      <c r="K117" s="18" t="s">
        <v>162</v>
      </c>
      <c r="T117" s="3">
        <f t="shared" si="4"/>
        <v>7</v>
      </c>
      <c r="U117" s="3">
        <v>9</v>
      </c>
      <c r="V117" s="3">
        <v>5</v>
      </c>
      <c r="X117" s="2" t="s">
        <v>582</v>
      </c>
      <c r="Y117" s="18">
        <v>1</v>
      </c>
      <c r="Z117" s="18">
        <v>1</v>
      </c>
      <c r="AA117" s="18">
        <v>1</v>
      </c>
      <c r="AB117" s="18">
        <v>0</v>
      </c>
      <c r="AC117" s="18">
        <v>0</v>
      </c>
      <c r="AD117" s="18">
        <v>3</v>
      </c>
      <c r="AE117" s="18">
        <v>0</v>
      </c>
      <c r="AN117" s="3">
        <f t="shared" si="5"/>
        <v>6</v>
      </c>
      <c r="AO117" s="3">
        <v>10</v>
      </c>
      <c r="AP117" s="3">
        <v>3</v>
      </c>
      <c r="AR117" s="2" t="s">
        <v>583</v>
      </c>
    </row>
    <row r="118" spans="1:44" ht="12.75" customHeight="1">
      <c r="A118" s="5">
        <v>38110</v>
      </c>
      <c r="B118" s="2" t="s">
        <v>152</v>
      </c>
      <c r="C118" s="2" t="s">
        <v>374</v>
      </c>
      <c r="E118" s="18">
        <v>0</v>
      </c>
      <c r="F118" s="18">
        <v>5</v>
      </c>
      <c r="G118" s="18">
        <v>0</v>
      </c>
      <c r="H118" s="18">
        <v>0</v>
      </c>
      <c r="I118" s="18">
        <v>3</v>
      </c>
      <c r="J118" s="18">
        <v>5</v>
      </c>
      <c r="K118" s="18">
        <v>3</v>
      </c>
      <c r="T118" s="3">
        <f t="shared" si="4"/>
        <v>16</v>
      </c>
      <c r="U118" s="3">
        <v>13</v>
      </c>
      <c r="V118" s="3">
        <v>0</v>
      </c>
      <c r="X118" s="2" t="s">
        <v>528</v>
      </c>
      <c r="Y118" s="18">
        <v>0</v>
      </c>
      <c r="Z118" s="18">
        <v>0</v>
      </c>
      <c r="AA118" s="18">
        <v>0</v>
      </c>
      <c r="AB118" s="18">
        <v>2</v>
      </c>
      <c r="AC118" s="18">
        <v>2</v>
      </c>
      <c r="AD118" s="18">
        <v>0</v>
      </c>
      <c r="AE118" s="18">
        <v>1</v>
      </c>
      <c r="AN118" s="3">
        <f t="shared" si="5"/>
        <v>5</v>
      </c>
      <c r="AO118" s="3">
        <v>9</v>
      </c>
      <c r="AP118" s="3">
        <v>2</v>
      </c>
      <c r="AR118" s="2" t="s">
        <v>531</v>
      </c>
    </row>
    <row r="119" spans="1:44" ht="12.75" customHeight="1">
      <c r="A119" s="5">
        <f>DATE(2005,4,28)</f>
        <v>38470</v>
      </c>
      <c r="C119" s="2" t="s">
        <v>374</v>
      </c>
      <c r="E119" s="18">
        <v>0</v>
      </c>
      <c r="F119" s="18">
        <v>1</v>
      </c>
      <c r="G119" s="18">
        <v>2</v>
      </c>
      <c r="H119" s="18">
        <v>0</v>
      </c>
      <c r="I119" s="18">
        <v>0</v>
      </c>
      <c r="J119" s="18">
        <v>0</v>
      </c>
      <c r="K119" s="18">
        <v>0</v>
      </c>
      <c r="L119" s="18">
        <v>1</v>
      </c>
      <c r="T119" s="3">
        <f t="shared" si="4"/>
        <v>4</v>
      </c>
      <c r="U119" s="3">
        <v>5</v>
      </c>
      <c r="V119" s="3">
        <v>5</v>
      </c>
      <c r="X119" s="2" t="s">
        <v>551</v>
      </c>
      <c r="Y119" s="18">
        <v>1</v>
      </c>
      <c r="Z119" s="18">
        <v>0</v>
      </c>
      <c r="AA119" s="18">
        <v>0</v>
      </c>
      <c r="AB119" s="18">
        <v>0</v>
      </c>
      <c r="AC119" s="18">
        <v>2</v>
      </c>
      <c r="AD119" s="18">
        <v>1</v>
      </c>
      <c r="AE119" s="18">
        <v>10</v>
      </c>
      <c r="AN119" s="3">
        <f t="shared" si="5"/>
        <v>14</v>
      </c>
      <c r="AO119" s="3">
        <v>16</v>
      </c>
      <c r="AP119" s="3">
        <v>1</v>
      </c>
      <c r="AR119" s="2" t="s">
        <v>552</v>
      </c>
    </row>
    <row r="120" spans="1:44" ht="12.75" customHeight="1">
      <c r="A120" s="5">
        <v>38838</v>
      </c>
      <c r="B120" s="2" t="s">
        <v>152</v>
      </c>
      <c r="C120" s="2" t="s">
        <v>374</v>
      </c>
      <c r="E120" s="18">
        <v>3</v>
      </c>
      <c r="F120" s="18">
        <v>1</v>
      </c>
      <c r="G120" s="18">
        <v>0</v>
      </c>
      <c r="H120" s="18">
        <v>0</v>
      </c>
      <c r="I120" s="18">
        <v>0</v>
      </c>
      <c r="J120" s="18">
        <v>1</v>
      </c>
      <c r="K120" s="18">
        <v>1</v>
      </c>
      <c r="T120" s="3">
        <f t="shared" si="4"/>
        <v>6</v>
      </c>
      <c r="U120" s="3">
        <v>7</v>
      </c>
      <c r="V120" s="3">
        <v>0</v>
      </c>
      <c r="X120" s="2" t="s">
        <v>212</v>
      </c>
      <c r="Y120" s="18">
        <v>1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N120" s="3">
        <f t="shared" si="5"/>
        <v>1</v>
      </c>
      <c r="AO120" s="3">
        <v>6</v>
      </c>
      <c r="AP120" s="3">
        <v>3</v>
      </c>
      <c r="AR120" s="2" t="s">
        <v>1673</v>
      </c>
    </row>
    <row r="121" spans="1:44" ht="12.75" customHeight="1">
      <c r="A121" s="5">
        <v>39200</v>
      </c>
      <c r="C121" s="2" t="s">
        <v>374</v>
      </c>
      <c r="E121" s="18">
        <v>0</v>
      </c>
      <c r="F121" s="18">
        <v>1</v>
      </c>
      <c r="G121" s="18">
        <v>0</v>
      </c>
      <c r="H121" s="18">
        <v>0</v>
      </c>
      <c r="I121" s="18">
        <v>0</v>
      </c>
      <c r="T121" s="3">
        <f t="shared" si="4"/>
        <v>1</v>
      </c>
      <c r="U121" s="3">
        <v>4</v>
      </c>
      <c r="V121" s="3">
        <v>1</v>
      </c>
      <c r="X121" s="2" t="s">
        <v>497</v>
      </c>
      <c r="Y121" s="18">
        <v>7</v>
      </c>
      <c r="Z121" s="18">
        <v>1</v>
      </c>
      <c r="AA121" s="18">
        <v>0</v>
      </c>
      <c r="AB121" s="18">
        <v>5</v>
      </c>
      <c r="AC121" s="18">
        <v>0</v>
      </c>
      <c r="AN121" s="3">
        <f t="shared" si="5"/>
        <v>13</v>
      </c>
      <c r="AO121" s="3">
        <v>12</v>
      </c>
      <c r="AP121" s="3">
        <v>0</v>
      </c>
      <c r="AR121" s="2" t="s">
        <v>488</v>
      </c>
    </row>
    <row r="122" spans="1:44" ht="12.75" customHeight="1">
      <c r="A122" s="5">
        <v>39541</v>
      </c>
      <c r="B122" s="2" t="s">
        <v>152</v>
      </c>
      <c r="C122" s="2" t="s">
        <v>374</v>
      </c>
      <c r="E122" s="18">
        <v>2</v>
      </c>
      <c r="F122" s="18">
        <v>0</v>
      </c>
      <c r="G122" s="18">
        <v>0</v>
      </c>
      <c r="H122" s="18">
        <v>1</v>
      </c>
      <c r="I122" s="18">
        <v>0</v>
      </c>
      <c r="J122" s="18">
        <v>0</v>
      </c>
      <c r="K122" s="18">
        <v>0</v>
      </c>
      <c r="T122" s="3">
        <f t="shared" si="4"/>
        <v>3</v>
      </c>
      <c r="U122" s="3">
        <v>8</v>
      </c>
      <c r="V122" s="3">
        <v>3</v>
      </c>
      <c r="X122" s="2" t="s">
        <v>1494</v>
      </c>
      <c r="Y122" s="18">
        <v>1</v>
      </c>
      <c r="Z122" s="18">
        <v>0</v>
      </c>
      <c r="AA122" s="18">
        <v>0</v>
      </c>
      <c r="AB122" s="18">
        <v>2</v>
      </c>
      <c r="AC122" s="18">
        <v>2</v>
      </c>
      <c r="AD122" s="18">
        <v>0</v>
      </c>
      <c r="AE122" s="18" t="s">
        <v>162</v>
      </c>
      <c r="AN122" s="3">
        <f t="shared" si="5"/>
        <v>5</v>
      </c>
      <c r="AO122" s="3">
        <v>6</v>
      </c>
      <c r="AP122" s="3">
        <v>1</v>
      </c>
      <c r="AR122" s="2" t="s">
        <v>1237</v>
      </c>
    </row>
    <row r="123" spans="1:44" ht="12.75" customHeight="1">
      <c r="A123" s="5">
        <v>40651</v>
      </c>
      <c r="C123" s="2" t="s">
        <v>374</v>
      </c>
      <c r="E123" s="18">
        <v>0</v>
      </c>
      <c r="F123" s="18">
        <v>0</v>
      </c>
      <c r="G123" s="18">
        <v>0</v>
      </c>
      <c r="H123" s="18">
        <v>1</v>
      </c>
      <c r="I123" s="18">
        <v>6</v>
      </c>
      <c r="J123" s="18">
        <v>2</v>
      </c>
      <c r="K123" s="18" t="s">
        <v>162</v>
      </c>
      <c r="T123" s="3">
        <f t="shared" si="4"/>
        <v>9</v>
      </c>
      <c r="U123" s="3">
        <v>11</v>
      </c>
      <c r="V123" s="3">
        <v>2</v>
      </c>
      <c r="X123" s="2" t="s">
        <v>1963</v>
      </c>
      <c r="Y123" s="18">
        <v>2</v>
      </c>
      <c r="Z123" s="18">
        <v>0</v>
      </c>
      <c r="AA123" s="18">
        <v>1</v>
      </c>
      <c r="AB123" s="18">
        <v>2</v>
      </c>
      <c r="AC123" s="18">
        <v>1</v>
      </c>
      <c r="AD123" s="18">
        <v>1</v>
      </c>
      <c r="AE123" s="18">
        <v>0</v>
      </c>
      <c r="AN123" s="3">
        <f t="shared" si="5"/>
        <v>7</v>
      </c>
      <c r="AO123" s="3">
        <v>11</v>
      </c>
      <c r="AP123" s="3">
        <v>3</v>
      </c>
      <c r="AR123" s="2" t="s">
        <v>1962</v>
      </c>
    </row>
    <row r="124" spans="1:44" ht="12.75" customHeight="1">
      <c r="A124" s="5">
        <v>41019</v>
      </c>
      <c r="B124" s="2" t="s">
        <v>152</v>
      </c>
      <c r="C124" s="2" t="s">
        <v>374</v>
      </c>
      <c r="E124" s="18">
        <v>0</v>
      </c>
      <c r="F124" s="18">
        <v>2</v>
      </c>
      <c r="G124" s="18">
        <v>3</v>
      </c>
      <c r="H124" s="18">
        <v>0</v>
      </c>
      <c r="I124" s="18">
        <v>2</v>
      </c>
      <c r="J124" s="18">
        <v>0</v>
      </c>
      <c r="K124" s="18">
        <v>0</v>
      </c>
      <c r="T124" s="3">
        <f t="shared" si="4"/>
        <v>7</v>
      </c>
      <c r="U124" s="3">
        <v>13</v>
      </c>
      <c r="V124" s="3">
        <v>3</v>
      </c>
      <c r="X124" s="2" t="s">
        <v>2039</v>
      </c>
      <c r="Y124" s="18">
        <v>0</v>
      </c>
      <c r="Z124" s="18">
        <v>0</v>
      </c>
      <c r="AA124" s="18">
        <v>1</v>
      </c>
      <c r="AB124" s="18">
        <v>0</v>
      </c>
      <c r="AC124" s="18">
        <v>0</v>
      </c>
      <c r="AD124" s="18">
        <v>0</v>
      </c>
      <c r="AE124" s="18">
        <v>3</v>
      </c>
      <c r="AN124" s="3">
        <f t="shared" si="5"/>
        <v>4</v>
      </c>
      <c r="AO124" s="3">
        <v>8</v>
      </c>
      <c r="AP124" s="3">
        <v>1</v>
      </c>
      <c r="AR124" s="2" t="s">
        <v>2040</v>
      </c>
    </row>
    <row r="125" spans="1:44" ht="12.75" customHeight="1">
      <c r="A125" s="5">
        <v>41368</v>
      </c>
      <c r="B125" s="2" t="s">
        <v>152</v>
      </c>
      <c r="C125" s="2" t="s">
        <v>374</v>
      </c>
      <c r="E125" s="18">
        <v>0</v>
      </c>
      <c r="F125" s="18">
        <v>1</v>
      </c>
      <c r="G125" s="18">
        <v>2</v>
      </c>
      <c r="H125" s="18">
        <v>0</v>
      </c>
      <c r="I125" s="18">
        <v>0</v>
      </c>
      <c r="J125" s="18">
        <v>0</v>
      </c>
      <c r="K125" s="18">
        <v>0</v>
      </c>
      <c r="T125" s="3">
        <f t="shared" si="4"/>
        <v>3</v>
      </c>
      <c r="U125" s="3">
        <v>9</v>
      </c>
      <c r="V125" s="3">
        <v>2</v>
      </c>
      <c r="X125" s="2" t="s">
        <v>2110</v>
      </c>
      <c r="Y125" s="18">
        <v>0</v>
      </c>
      <c r="Z125" s="18">
        <v>0</v>
      </c>
      <c r="AA125" s="18">
        <v>4</v>
      </c>
      <c r="AB125" s="18">
        <v>3</v>
      </c>
      <c r="AC125" s="18">
        <v>0</v>
      </c>
      <c r="AD125" s="18">
        <v>1</v>
      </c>
      <c r="AE125" s="18" t="s">
        <v>162</v>
      </c>
      <c r="AN125" s="3">
        <f t="shared" si="5"/>
        <v>8</v>
      </c>
      <c r="AO125" s="3">
        <v>10</v>
      </c>
      <c r="AP125" s="3">
        <v>3</v>
      </c>
      <c r="AR125" s="2" t="s">
        <v>2111</v>
      </c>
    </row>
    <row r="126" spans="1:44" ht="12.75" customHeight="1">
      <c r="A126" s="5">
        <v>41389</v>
      </c>
      <c r="C126" s="2" t="s">
        <v>374</v>
      </c>
      <c r="E126" s="18">
        <v>1</v>
      </c>
      <c r="F126" s="18">
        <v>0</v>
      </c>
      <c r="G126" s="18">
        <v>0</v>
      </c>
      <c r="H126" s="18">
        <v>0</v>
      </c>
      <c r="I126" s="18">
        <v>0</v>
      </c>
      <c r="J126" s="18">
        <v>3</v>
      </c>
      <c r="K126" s="18">
        <v>0</v>
      </c>
      <c r="T126" s="3">
        <f t="shared" si="4"/>
        <v>4</v>
      </c>
      <c r="U126" s="3">
        <v>3</v>
      </c>
      <c r="V126" s="3">
        <v>2</v>
      </c>
      <c r="X126" s="2" t="s">
        <v>2098</v>
      </c>
      <c r="Y126" s="18">
        <v>0</v>
      </c>
      <c r="Z126" s="18">
        <v>0</v>
      </c>
      <c r="AA126" s="18">
        <v>0</v>
      </c>
      <c r="AB126" s="18">
        <v>0</v>
      </c>
      <c r="AC126" s="18">
        <v>4</v>
      </c>
      <c r="AD126" s="18">
        <v>0</v>
      </c>
      <c r="AE126" s="18">
        <v>1</v>
      </c>
      <c r="AN126" s="3">
        <f t="shared" si="5"/>
        <v>5</v>
      </c>
      <c r="AO126" s="3">
        <v>5</v>
      </c>
      <c r="AP126" s="3">
        <v>0</v>
      </c>
      <c r="AR126" s="2" t="s">
        <v>2099</v>
      </c>
    </row>
    <row r="127" spans="1:44" ht="12.75" customHeight="1">
      <c r="A127" s="5">
        <v>41730</v>
      </c>
      <c r="B127" s="2" t="s">
        <v>152</v>
      </c>
      <c r="C127" s="2" t="s">
        <v>374</v>
      </c>
      <c r="E127" s="18">
        <v>5</v>
      </c>
      <c r="F127" s="18">
        <v>1</v>
      </c>
      <c r="G127" s="18">
        <v>0</v>
      </c>
      <c r="H127" s="18">
        <v>1</v>
      </c>
      <c r="I127" s="18">
        <v>0</v>
      </c>
      <c r="J127" s="18">
        <v>5</v>
      </c>
      <c r="K127" s="18">
        <v>0</v>
      </c>
      <c r="T127" s="3">
        <f t="shared" si="4"/>
        <v>12</v>
      </c>
      <c r="U127" s="3">
        <v>12</v>
      </c>
      <c r="V127" s="3">
        <v>4</v>
      </c>
      <c r="X127" s="2" t="s">
        <v>2084</v>
      </c>
      <c r="Y127" s="18">
        <v>3</v>
      </c>
      <c r="Z127" s="18">
        <v>3</v>
      </c>
      <c r="AA127" s="18">
        <v>0</v>
      </c>
      <c r="AB127" s="18">
        <v>5</v>
      </c>
      <c r="AC127" s="18">
        <v>2</v>
      </c>
      <c r="AD127" s="18">
        <v>0</v>
      </c>
      <c r="AE127" s="18" t="s">
        <v>162</v>
      </c>
      <c r="AN127" s="3">
        <f t="shared" si="5"/>
        <v>13</v>
      </c>
      <c r="AO127" s="3">
        <v>10</v>
      </c>
      <c r="AP127" s="3">
        <v>4</v>
      </c>
      <c r="AR127" s="2" t="s">
        <v>2083</v>
      </c>
    </row>
    <row r="128" spans="1:44" ht="12.75" customHeight="1">
      <c r="A128" s="5">
        <v>41767</v>
      </c>
      <c r="C128" s="2" t="s">
        <v>374</v>
      </c>
      <c r="E128" s="18">
        <v>0</v>
      </c>
      <c r="F128" s="18">
        <v>3</v>
      </c>
      <c r="G128" s="18">
        <v>0</v>
      </c>
      <c r="H128" s="18">
        <v>8</v>
      </c>
      <c r="I128" s="18">
        <v>0</v>
      </c>
      <c r="J128" s="18">
        <v>0</v>
      </c>
      <c r="K128" s="18">
        <v>2</v>
      </c>
      <c r="T128" s="3">
        <f t="shared" si="4"/>
        <v>13</v>
      </c>
      <c r="U128" s="3">
        <v>12</v>
      </c>
      <c r="V128" s="3">
        <v>4</v>
      </c>
      <c r="X128" s="2" t="s">
        <v>2062</v>
      </c>
      <c r="Y128" s="18">
        <v>2</v>
      </c>
      <c r="Z128" s="18">
        <v>1</v>
      </c>
      <c r="AA128" s="18">
        <v>1</v>
      </c>
      <c r="AB128" s="18">
        <v>5</v>
      </c>
      <c r="AC128" s="18">
        <v>4</v>
      </c>
      <c r="AD128" s="18">
        <v>0</v>
      </c>
      <c r="AE128" s="18">
        <v>1</v>
      </c>
      <c r="AN128" s="3">
        <f t="shared" si="5"/>
        <v>14</v>
      </c>
      <c r="AO128" s="3">
        <v>17</v>
      </c>
      <c r="AP128" s="3">
        <v>1</v>
      </c>
      <c r="AR128" s="2" t="s">
        <v>2063</v>
      </c>
    </row>
    <row r="129" spans="1:44" ht="12.75" customHeight="1">
      <c r="A129" s="5">
        <v>42109</v>
      </c>
      <c r="B129" s="2" t="s">
        <v>152</v>
      </c>
      <c r="C129" s="2" t="s">
        <v>374</v>
      </c>
      <c r="E129" s="18">
        <v>0</v>
      </c>
      <c r="F129" s="18">
        <v>2</v>
      </c>
      <c r="G129" s="18">
        <v>0</v>
      </c>
      <c r="H129" s="18">
        <v>0</v>
      </c>
      <c r="I129" s="18">
        <v>0</v>
      </c>
      <c r="J129" s="18">
        <v>0</v>
      </c>
      <c r="K129" s="18">
        <v>1</v>
      </c>
      <c r="T129" s="3">
        <f t="shared" si="4"/>
        <v>3</v>
      </c>
      <c r="U129" s="3">
        <v>5</v>
      </c>
      <c r="V129" s="3">
        <v>0</v>
      </c>
      <c r="X129" s="2" t="s">
        <v>2139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N129" s="3">
        <f t="shared" si="5"/>
        <v>0</v>
      </c>
      <c r="AO129" s="3">
        <v>4</v>
      </c>
      <c r="AP129" s="3">
        <v>0</v>
      </c>
      <c r="AR129" s="2" t="s">
        <v>2140</v>
      </c>
    </row>
    <row r="130" spans="1:44" ht="12.75" customHeight="1">
      <c r="A130" s="5">
        <v>42125</v>
      </c>
      <c r="C130" s="2" t="s">
        <v>374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T130" s="3">
        <f t="shared" si="4"/>
        <v>0</v>
      </c>
      <c r="U130" s="3" t="s">
        <v>162</v>
      </c>
      <c r="V130" s="3" t="s">
        <v>162</v>
      </c>
      <c r="X130" s="2" t="s">
        <v>2132</v>
      </c>
      <c r="Y130" s="18">
        <v>7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N130" s="3">
        <f t="shared" si="5"/>
        <v>7</v>
      </c>
      <c r="AO130" s="3" t="s">
        <v>162</v>
      </c>
      <c r="AP130" s="3" t="s">
        <v>162</v>
      </c>
      <c r="AR130" s="2" t="s">
        <v>2132</v>
      </c>
    </row>
    <row r="131" spans="1:44" ht="12.75" customHeight="1">
      <c r="A131" s="5">
        <v>42473</v>
      </c>
      <c r="C131" s="2" t="s">
        <v>374</v>
      </c>
      <c r="E131" s="18">
        <v>0</v>
      </c>
      <c r="F131" s="18">
        <v>0</v>
      </c>
      <c r="G131" s="18">
        <v>1</v>
      </c>
      <c r="H131" s="18">
        <v>0</v>
      </c>
      <c r="I131" s="18">
        <v>0</v>
      </c>
      <c r="J131" s="18">
        <v>0</v>
      </c>
      <c r="K131" s="18">
        <v>0</v>
      </c>
      <c r="T131" s="3">
        <f t="shared" si="4"/>
        <v>1</v>
      </c>
      <c r="U131" s="3">
        <v>5</v>
      </c>
      <c r="V131" s="3">
        <v>0</v>
      </c>
      <c r="X131" s="2" t="s">
        <v>2065</v>
      </c>
      <c r="Y131" s="18">
        <v>0</v>
      </c>
      <c r="Z131" s="18">
        <v>0</v>
      </c>
      <c r="AA131" s="18">
        <v>2</v>
      </c>
      <c r="AB131" s="18">
        <v>0</v>
      </c>
      <c r="AC131" s="18">
        <v>0</v>
      </c>
      <c r="AD131" s="18">
        <v>0</v>
      </c>
      <c r="AE131" s="18">
        <v>0</v>
      </c>
      <c r="AN131" s="3">
        <f t="shared" si="5"/>
        <v>2</v>
      </c>
      <c r="AO131" s="3">
        <v>5</v>
      </c>
      <c r="AP131" s="3">
        <v>0</v>
      </c>
      <c r="AR131" s="2" t="s">
        <v>2145</v>
      </c>
    </row>
    <row r="132" spans="1:44" ht="12.75" customHeight="1">
      <c r="A132" s="5">
        <v>42495</v>
      </c>
      <c r="B132" s="2" t="s">
        <v>152</v>
      </c>
      <c r="C132" s="2" t="s">
        <v>374</v>
      </c>
      <c r="E132" s="18">
        <v>0</v>
      </c>
      <c r="F132" s="18">
        <v>0</v>
      </c>
      <c r="G132" s="18">
        <v>1</v>
      </c>
      <c r="H132" s="18">
        <v>0</v>
      </c>
      <c r="I132" s="18">
        <v>0</v>
      </c>
      <c r="J132" s="18">
        <v>1</v>
      </c>
      <c r="K132" s="18">
        <v>0</v>
      </c>
      <c r="T132" s="3">
        <f t="shared" si="4"/>
        <v>2</v>
      </c>
      <c r="U132" s="3">
        <v>5</v>
      </c>
      <c r="V132" s="3">
        <v>4</v>
      </c>
      <c r="X132" s="2" t="s">
        <v>2161</v>
      </c>
      <c r="Y132" s="18">
        <v>1</v>
      </c>
      <c r="Z132" s="18">
        <v>2</v>
      </c>
      <c r="AA132" s="18">
        <v>1</v>
      </c>
      <c r="AB132" s="18">
        <v>0</v>
      </c>
      <c r="AC132" s="18">
        <v>1</v>
      </c>
      <c r="AD132" s="18">
        <v>0</v>
      </c>
      <c r="AE132" s="18" t="s">
        <v>162</v>
      </c>
      <c r="AN132" s="3">
        <f t="shared" si="5"/>
        <v>5</v>
      </c>
      <c r="AO132" s="3">
        <v>7</v>
      </c>
      <c r="AP132" s="3">
        <v>2</v>
      </c>
      <c r="AR132" s="2" t="s">
        <v>2162</v>
      </c>
    </row>
    <row r="133" spans="1:44" ht="12.75" customHeight="1">
      <c r="A133" s="5">
        <v>42835</v>
      </c>
      <c r="C133" s="2" t="s">
        <v>374</v>
      </c>
      <c r="E133" s="18">
        <v>1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T133" s="3">
        <f t="shared" si="4"/>
        <v>1</v>
      </c>
      <c r="U133" s="3">
        <v>3</v>
      </c>
      <c r="V133" s="3">
        <v>1</v>
      </c>
      <c r="X133" s="2" t="s">
        <v>2200</v>
      </c>
      <c r="Y133" s="18">
        <v>0</v>
      </c>
      <c r="Z133" s="18">
        <v>0</v>
      </c>
      <c r="AA133" s="18">
        <v>0</v>
      </c>
      <c r="AB133" s="18">
        <v>1</v>
      </c>
      <c r="AC133" s="18">
        <v>0</v>
      </c>
      <c r="AD133" s="18">
        <v>0</v>
      </c>
      <c r="AE133" s="18">
        <v>1</v>
      </c>
      <c r="AN133" s="3">
        <f t="shared" si="5"/>
        <v>2</v>
      </c>
      <c r="AO133" s="3">
        <v>4</v>
      </c>
      <c r="AP133" s="3">
        <v>0</v>
      </c>
      <c r="AR133" s="2" t="s">
        <v>2201</v>
      </c>
    </row>
    <row r="134" spans="1:44" ht="12.75" customHeight="1">
      <c r="A134" s="5">
        <v>42872</v>
      </c>
      <c r="B134" s="2" t="s">
        <v>152</v>
      </c>
      <c r="C134" s="2" t="s">
        <v>374</v>
      </c>
      <c r="E134" s="18">
        <v>3</v>
      </c>
      <c r="F134" s="18">
        <v>0</v>
      </c>
      <c r="G134" s="18">
        <v>1</v>
      </c>
      <c r="H134" s="18">
        <v>1</v>
      </c>
      <c r="I134" s="18">
        <v>5</v>
      </c>
      <c r="J134" s="18">
        <v>4</v>
      </c>
      <c r="T134" s="3">
        <f t="shared" si="4"/>
        <v>14</v>
      </c>
      <c r="U134" s="3">
        <v>17</v>
      </c>
      <c r="V134" s="3">
        <v>1</v>
      </c>
      <c r="X134" s="2" t="s">
        <v>2156</v>
      </c>
      <c r="Y134" s="18">
        <v>0</v>
      </c>
      <c r="Z134" s="18">
        <v>0</v>
      </c>
      <c r="AA134" s="18">
        <v>0</v>
      </c>
      <c r="AB134" s="18">
        <v>3</v>
      </c>
      <c r="AC134" s="18">
        <v>0</v>
      </c>
      <c r="AD134" s="18">
        <v>0</v>
      </c>
      <c r="AN134" s="3">
        <f t="shared" si="5"/>
        <v>3</v>
      </c>
      <c r="AO134" s="3">
        <v>5</v>
      </c>
      <c r="AP134" s="3">
        <v>4</v>
      </c>
      <c r="AR134" s="2" t="s">
        <v>2177</v>
      </c>
    </row>
    <row r="135" spans="1:44" ht="12.75" customHeight="1">
      <c r="A135" s="5">
        <v>43200</v>
      </c>
      <c r="C135" s="2" t="s">
        <v>374</v>
      </c>
      <c r="E135" s="18">
        <v>0</v>
      </c>
      <c r="F135" s="18">
        <v>0</v>
      </c>
      <c r="G135" s="18">
        <v>0</v>
      </c>
      <c r="H135" s="18">
        <v>0</v>
      </c>
      <c r="I135" s="18">
        <v>2</v>
      </c>
      <c r="J135" s="18">
        <v>2</v>
      </c>
      <c r="K135" s="18" t="s">
        <v>162</v>
      </c>
      <c r="T135" s="3">
        <f t="shared" si="4"/>
        <v>4</v>
      </c>
      <c r="U135" s="3">
        <v>5</v>
      </c>
      <c r="V135" s="3">
        <v>2</v>
      </c>
      <c r="X135" s="2" t="s">
        <v>2319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2</v>
      </c>
      <c r="AE135" s="18">
        <v>0</v>
      </c>
      <c r="AN135" s="3">
        <f t="shared" si="5"/>
        <v>2</v>
      </c>
      <c r="AO135" s="3">
        <v>6</v>
      </c>
      <c r="AP135" s="3">
        <v>0</v>
      </c>
      <c r="AR135" s="2" t="s">
        <v>2320</v>
      </c>
    </row>
    <row r="136" spans="1:44" ht="12.75" customHeight="1">
      <c r="A136" s="5">
        <v>43549</v>
      </c>
      <c r="B136" s="2" t="s">
        <v>152</v>
      </c>
      <c r="C136" s="2" t="s">
        <v>374</v>
      </c>
      <c r="E136" s="18">
        <v>0</v>
      </c>
      <c r="F136" s="18">
        <v>0</v>
      </c>
      <c r="G136" s="18">
        <v>4</v>
      </c>
      <c r="H136" s="18">
        <v>0</v>
      </c>
      <c r="I136" s="18">
        <v>0</v>
      </c>
      <c r="J136" s="18">
        <v>3</v>
      </c>
      <c r="K136" s="18">
        <v>3</v>
      </c>
      <c r="T136" s="3">
        <f t="shared" si="4"/>
        <v>10</v>
      </c>
      <c r="U136" s="3">
        <v>6</v>
      </c>
      <c r="V136" s="3">
        <v>2</v>
      </c>
      <c r="X136" s="2" t="s">
        <v>2265</v>
      </c>
      <c r="Y136" s="18">
        <v>0</v>
      </c>
      <c r="Z136" s="18">
        <v>0</v>
      </c>
      <c r="AA136" s="18">
        <v>0</v>
      </c>
      <c r="AB136" s="18">
        <v>1</v>
      </c>
      <c r="AC136" s="18">
        <v>0</v>
      </c>
      <c r="AD136" s="18">
        <v>0</v>
      </c>
      <c r="AN136" s="3">
        <f t="shared" si="5"/>
        <v>1</v>
      </c>
      <c r="AO136" s="3">
        <v>4</v>
      </c>
      <c r="AP136" s="3">
        <v>5</v>
      </c>
      <c r="AR136" s="2" t="s">
        <v>2266</v>
      </c>
    </row>
    <row r="137" spans="1:44" ht="12.75" customHeight="1">
      <c r="A137" s="5">
        <v>43573</v>
      </c>
      <c r="C137" s="2" t="s">
        <v>374</v>
      </c>
      <c r="E137" s="18">
        <v>2</v>
      </c>
      <c r="F137" s="18">
        <v>0</v>
      </c>
      <c r="G137" s="18">
        <v>0</v>
      </c>
      <c r="H137" s="18">
        <v>0</v>
      </c>
      <c r="I137" s="18">
        <v>0</v>
      </c>
      <c r="J137" s="18">
        <v>2</v>
      </c>
      <c r="K137" s="18" t="s">
        <v>162</v>
      </c>
      <c r="T137" s="3">
        <f t="shared" si="4"/>
        <v>4</v>
      </c>
      <c r="U137" s="3">
        <v>4</v>
      </c>
      <c r="V137" s="3">
        <v>2</v>
      </c>
      <c r="X137" s="2" t="s">
        <v>2237</v>
      </c>
      <c r="Y137" s="18">
        <v>0</v>
      </c>
      <c r="Z137" s="18">
        <v>0</v>
      </c>
      <c r="AA137" s="18">
        <v>2</v>
      </c>
      <c r="AB137" s="18">
        <v>0</v>
      </c>
      <c r="AC137" s="18">
        <v>0</v>
      </c>
      <c r="AD137" s="18">
        <v>0</v>
      </c>
      <c r="AE137" s="18">
        <v>0</v>
      </c>
      <c r="AN137" s="3">
        <f t="shared" si="5"/>
        <v>2</v>
      </c>
      <c r="AO137" s="3">
        <v>2</v>
      </c>
      <c r="AP137" s="3">
        <v>3</v>
      </c>
      <c r="AR137" s="2" t="s">
        <v>2280</v>
      </c>
    </row>
    <row r="138" spans="1:44" ht="12.75" customHeight="1">
      <c r="A138" s="5">
        <v>44292</v>
      </c>
      <c r="B138" s="2" t="s">
        <v>152</v>
      </c>
      <c r="C138" s="2" t="s">
        <v>374</v>
      </c>
      <c r="E138" s="18">
        <v>0</v>
      </c>
      <c r="F138" s="18">
        <v>2</v>
      </c>
      <c r="G138" s="18">
        <v>0</v>
      </c>
      <c r="H138" s="18">
        <v>0</v>
      </c>
      <c r="I138" s="18">
        <v>0</v>
      </c>
      <c r="J138" s="18">
        <v>0</v>
      </c>
      <c r="K138" s="18">
        <v>3</v>
      </c>
      <c r="T138" s="3">
        <f t="shared" si="4"/>
        <v>5</v>
      </c>
      <c r="U138" s="3">
        <v>6</v>
      </c>
      <c r="V138" s="3">
        <v>2</v>
      </c>
      <c r="X138" s="2" t="s">
        <v>2295</v>
      </c>
      <c r="Y138" s="18">
        <v>3</v>
      </c>
      <c r="Z138" s="18">
        <v>2</v>
      </c>
      <c r="AA138" s="18">
        <v>2</v>
      </c>
      <c r="AB138" s="18">
        <v>3</v>
      </c>
      <c r="AC138" s="18">
        <v>0</v>
      </c>
      <c r="AD138" s="18">
        <v>0</v>
      </c>
      <c r="AE138" s="18" t="s">
        <v>162</v>
      </c>
      <c r="AN138" s="3">
        <f t="shared" si="5"/>
        <v>10</v>
      </c>
      <c r="AO138" s="3">
        <v>14</v>
      </c>
      <c r="AP138" s="3">
        <v>1</v>
      </c>
      <c r="AR138" s="2" t="s">
        <v>2230</v>
      </c>
    </row>
    <row r="139" spans="1:44" ht="12.75" customHeight="1">
      <c r="A139" s="5">
        <v>44312</v>
      </c>
      <c r="C139" s="2" t="s">
        <v>374</v>
      </c>
      <c r="E139" s="18">
        <v>0</v>
      </c>
      <c r="F139" s="18">
        <v>1</v>
      </c>
      <c r="G139" s="18">
        <v>0</v>
      </c>
      <c r="H139" s="18">
        <v>0</v>
      </c>
      <c r="I139" s="18">
        <v>1</v>
      </c>
      <c r="J139" s="18">
        <v>1</v>
      </c>
      <c r="K139" s="18">
        <v>0</v>
      </c>
      <c r="T139" s="3">
        <f t="shared" si="4"/>
        <v>3</v>
      </c>
      <c r="U139" s="3">
        <v>7</v>
      </c>
      <c r="V139" s="3">
        <v>6</v>
      </c>
      <c r="X139" s="2" t="s">
        <v>2244</v>
      </c>
      <c r="Y139" s="18">
        <v>2</v>
      </c>
      <c r="Z139" s="18">
        <v>1</v>
      </c>
      <c r="AA139" s="18">
        <v>3</v>
      </c>
      <c r="AB139" s="18">
        <v>1</v>
      </c>
      <c r="AC139" s="18">
        <v>0</v>
      </c>
      <c r="AD139" s="18">
        <v>1</v>
      </c>
      <c r="AE139" s="18">
        <v>0</v>
      </c>
      <c r="AN139" s="3">
        <f t="shared" si="5"/>
        <v>8</v>
      </c>
      <c r="AO139" s="3">
        <v>12</v>
      </c>
      <c r="AP139" s="3">
        <v>0</v>
      </c>
      <c r="AR139" s="2" t="s">
        <v>2287</v>
      </c>
    </row>
    <row r="140" spans="1:44" ht="12.75">
      <c r="A140" s="5">
        <v>44656</v>
      </c>
      <c r="C140" s="2" t="s">
        <v>374</v>
      </c>
      <c r="E140" s="18">
        <v>1</v>
      </c>
      <c r="F140" s="18">
        <v>0</v>
      </c>
      <c r="G140" s="18">
        <v>0</v>
      </c>
      <c r="H140" s="18">
        <v>2</v>
      </c>
      <c r="I140" s="18">
        <v>1</v>
      </c>
      <c r="J140" s="18">
        <v>0</v>
      </c>
      <c r="K140" s="18" t="s">
        <v>162</v>
      </c>
      <c r="T140" s="3">
        <v>4</v>
      </c>
      <c r="U140" s="3">
        <v>6</v>
      </c>
      <c r="V140" s="3">
        <v>1</v>
      </c>
      <c r="X140" s="2" t="s">
        <v>2339</v>
      </c>
      <c r="Y140" s="18">
        <v>0</v>
      </c>
      <c r="Z140" s="18">
        <v>0</v>
      </c>
      <c r="AA140" s="18">
        <v>0</v>
      </c>
      <c r="AB140" s="18">
        <v>0</v>
      </c>
      <c r="AC140" s="18">
        <v>1</v>
      </c>
      <c r="AD140" s="18">
        <v>0</v>
      </c>
      <c r="AE140" s="18">
        <v>1</v>
      </c>
      <c r="AN140" s="3">
        <v>2</v>
      </c>
      <c r="AO140" s="3">
        <v>7</v>
      </c>
      <c r="AP140" s="3">
        <v>2</v>
      </c>
      <c r="AR140" s="2" t="s">
        <v>2340</v>
      </c>
    </row>
    <row r="141" spans="1:44" ht="12.75">
      <c r="A141" s="5">
        <v>44676</v>
      </c>
      <c r="B141" s="2" t="s">
        <v>152</v>
      </c>
      <c r="C141" s="2" t="s">
        <v>374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T141" s="3">
        <v>0</v>
      </c>
      <c r="U141" s="3">
        <v>0</v>
      </c>
      <c r="V141" s="3">
        <v>2</v>
      </c>
      <c r="X141" s="2" t="s">
        <v>2347</v>
      </c>
      <c r="Y141" s="18">
        <v>0</v>
      </c>
      <c r="Z141" s="18">
        <v>0</v>
      </c>
      <c r="AA141" s="18">
        <v>0</v>
      </c>
      <c r="AB141" s="18">
        <v>0</v>
      </c>
      <c r="AC141" s="18">
        <v>0</v>
      </c>
      <c r="AD141" s="18">
        <v>6</v>
      </c>
      <c r="AE141" s="18" t="s">
        <v>162</v>
      </c>
      <c r="AN141" s="3">
        <v>6</v>
      </c>
      <c r="AO141" s="3">
        <v>7</v>
      </c>
      <c r="AP141" s="3">
        <v>0</v>
      </c>
      <c r="AR141" s="2" t="s">
        <v>2348</v>
      </c>
    </row>
    <row r="142" spans="1:44" ht="12.75" customHeight="1">
      <c r="A142" s="4">
        <f>DATE(74,4,16)</f>
        <v>27135</v>
      </c>
      <c r="C142" s="2" t="s">
        <v>382</v>
      </c>
      <c r="E142" s="18">
        <v>0</v>
      </c>
      <c r="F142" s="18">
        <v>0</v>
      </c>
      <c r="G142" s="18">
        <v>0</v>
      </c>
      <c r="H142" s="18">
        <v>1</v>
      </c>
      <c r="I142" s="18">
        <v>2</v>
      </c>
      <c r="J142" s="18">
        <v>0</v>
      </c>
      <c r="K142" s="18" t="s">
        <v>162</v>
      </c>
      <c r="T142" s="3">
        <v>3</v>
      </c>
      <c r="U142" s="3">
        <v>5</v>
      </c>
      <c r="V142" s="3">
        <v>1</v>
      </c>
      <c r="X142" s="2" t="s">
        <v>1021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1</v>
      </c>
      <c r="AN142" s="3">
        <v>1</v>
      </c>
      <c r="AO142" s="3">
        <v>5</v>
      </c>
      <c r="AP142" s="3">
        <v>2</v>
      </c>
      <c r="AR142" s="2" t="s">
        <v>1022</v>
      </c>
    </row>
    <row r="143" spans="1:44" ht="12.75" customHeight="1">
      <c r="A143" s="4">
        <f>DATE(75,4,17)</f>
        <v>27501</v>
      </c>
      <c r="B143" s="2" t="s">
        <v>152</v>
      </c>
      <c r="C143" s="2" t="s">
        <v>382</v>
      </c>
      <c r="E143" s="18">
        <v>4</v>
      </c>
      <c r="F143" s="18">
        <v>1</v>
      </c>
      <c r="G143" s="18">
        <v>3</v>
      </c>
      <c r="H143" s="18">
        <v>2</v>
      </c>
      <c r="I143" s="18">
        <v>0</v>
      </c>
      <c r="J143" s="18">
        <v>2</v>
      </c>
      <c r="K143" s="18">
        <v>0</v>
      </c>
      <c r="T143" s="3">
        <v>12</v>
      </c>
      <c r="U143" s="3">
        <v>10</v>
      </c>
      <c r="V143" s="3">
        <v>2</v>
      </c>
      <c r="X143" s="2" t="s">
        <v>1045</v>
      </c>
      <c r="Y143" s="18">
        <v>0</v>
      </c>
      <c r="Z143" s="18">
        <v>3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N143" s="3">
        <v>3</v>
      </c>
      <c r="AO143" s="3">
        <v>2</v>
      </c>
      <c r="AP143" s="3">
        <v>4</v>
      </c>
      <c r="AR143" s="2" t="s">
        <v>1046</v>
      </c>
    </row>
    <row r="144" spans="1:44" ht="12.75" customHeight="1">
      <c r="A144" s="4">
        <f>DATE(75,5,14)</f>
        <v>27528</v>
      </c>
      <c r="C144" s="2" t="s">
        <v>382</v>
      </c>
      <c r="E144" s="18">
        <v>2</v>
      </c>
      <c r="F144" s="18">
        <v>3</v>
      </c>
      <c r="G144" s="18">
        <v>0</v>
      </c>
      <c r="H144" s="18">
        <v>2</v>
      </c>
      <c r="I144" s="18">
        <v>0</v>
      </c>
      <c r="J144" s="18">
        <v>0</v>
      </c>
      <c r="K144" s="18" t="s">
        <v>162</v>
      </c>
      <c r="T144" s="3">
        <v>7</v>
      </c>
      <c r="U144" s="3">
        <v>10</v>
      </c>
      <c r="V144" s="3">
        <v>0</v>
      </c>
      <c r="X144" s="2" t="s">
        <v>1021</v>
      </c>
      <c r="Y144" s="18">
        <v>0</v>
      </c>
      <c r="Z144" s="18">
        <v>1</v>
      </c>
      <c r="AA144" s="18">
        <v>0</v>
      </c>
      <c r="AB144" s="18">
        <v>0</v>
      </c>
      <c r="AC144" s="18">
        <v>0</v>
      </c>
      <c r="AD144" s="18">
        <v>1</v>
      </c>
      <c r="AE144" s="18">
        <v>0</v>
      </c>
      <c r="AN144" s="3">
        <v>2</v>
      </c>
      <c r="AO144" s="3">
        <v>3</v>
      </c>
      <c r="AP144" s="3">
        <v>6</v>
      </c>
      <c r="AR144" s="2" t="s">
        <v>1059</v>
      </c>
    </row>
    <row r="145" spans="1:44" ht="12.75" customHeight="1">
      <c r="A145" s="4">
        <f>DATE(76,4,20)</f>
        <v>27870</v>
      </c>
      <c r="B145" s="2" t="s">
        <v>152</v>
      </c>
      <c r="C145" s="2" t="s">
        <v>382</v>
      </c>
      <c r="E145" s="18">
        <v>0</v>
      </c>
      <c r="F145" s="18">
        <v>1</v>
      </c>
      <c r="G145" s="18">
        <v>3</v>
      </c>
      <c r="H145" s="18">
        <v>0</v>
      </c>
      <c r="I145" s="18">
        <v>1</v>
      </c>
      <c r="J145" s="18">
        <v>0</v>
      </c>
      <c r="K145" s="18">
        <v>0</v>
      </c>
      <c r="T145" s="3">
        <v>5</v>
      </c>
      <c r="U145" s="3">
        <v>13</v>
      </c>
      <c r="V145" s="3">
        <v>1</v>
      </c>
      <c r="X145" s="2" t="s">
        <v>1070</v>
      </c>
      <c r="Y145" s="18">
        <v>0</v>
      </c>
      <c r="Z145" s="18">
        <v>0</v>
      </c>
      <c r="AA145" s="18">
        <v>0</v>
      </c>
      <c r="AB145" s="18">
        <v>0</v>
      </c>
      <c r="AC145" s="18">
        <v>2</v>
      </c>
      <c r="AD145" s="18">
        <v>0</v>
      </c>
      <c r="AE145" s="18">
        <v>1</v>
      </c>
      <c r="AN145" s="3">
        <v>3</v>
      </c>
      <c r="AO145" s="3">
        <v>5</v>
      </c>
      <c r="AP145" s="3">
        <v>2</v>
      </c>
      <c r="AR145" s="2" t="s">
        <v>1077</v>
      </c>
    </row>
    <row r="146" spans="1:44" ht="12.75" customHeight="1">
      <c r="A146" s="4">
        <f>DATE(76,5,13)</f>
        <v>27893</v>
      </c>
      <c r="C146" s="2" t="s">
        <v>382</v>
      </c>
      <c r="E146" s="18">
        <v>0</v>
      </c>
      <c r="F146" s="18">
        <v>0</v>
      </c>
      <c r="G146" s="18">
        <v>0</v>
      </c>
      <c r="H146" s="18">
        <v>0</v>
      </c>
      <c r="I146" s="18">
        <v>1</v>
      </c>
      <c r="J146" s="18">
        <v>0</v>
      </c>
      <c r="K146" s="18">
        <v>0</v>
      </c>
      <c r="L146" s="18">
        <v>1</v>
      </c>
      <c r="M146" s="18">
        <v>1</v>
      </c>
      <c r="T146" s="3">
        <v>3</v>
      </c>
      <c r="U146" s="3">
        <v>7</v>
      </c>
      <c r="V146" s="3">
        <v>0</v>
      </c>
      <c r="X146" s="2" t="s">
        <v>1092</v>
      </c>
      <c r="Y146" s="18">
        <v>0</v>
      </c>
      <c r="Z146" s="18">
        <v>1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1</v>
      </c>
      <c r="AG146" s="18">
        <v>0</v>
      </c>
      <c r="AN146" s="3">
        <v>2</v>
      </c>
      <c r="AO146" s="3">
        <v>7</v>
      </c>
      <c r="AP146" s="3">
        <v>4</v>
      </c>
      <c r="AR146" s="2" t="s">
        <v>1094</v>
      </c>
    </row>
    <row r="147" spans="1:44" ht="12.75" customHeight="1">
      <c r="A147" s="4">
        <f>DATE(77,4,21)</f>
        <v>28236</v>
      </c>
      <c r="B147" s="2" t="s">
        <v>152</v>
      </c>
      <c r="C147" s="2" t="s">
        <v>382</v>
      </c>
      <c r="E147" s="18">
        <v>2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T147" s="3">
        <v>3</v>
      </c>
      <c r="U147" s="3">
        <v>6</v>
      </c>
      <c r="V147" s="3">
        <v>1</v>
      </c>
      <c r="X147" s="2" t="s">
        <v>1086</v>
      </c>
      <c r="Y147" s="18">
        <v>1</v>
      </c>
      <c r="Z147" s="18">
        <v>0</v>
      </c>
      <c r="AA147" s="18">
        <v>1</v>
      </c>
      <c r="AB147" s="18">
        <v>0</v>
      </c>
      <c r="AC147" s="18">
        <v>0</v>
      </c>
      <c r="AD147" s="18">
        <v>0</v>
      </c>
      <c r="AE147" s="18">
        <v>0</v>
      </c>
      <c r="AN147" s="3">
        <v>2</v>
      </c>
      <c r="AO147" s="3">
        <v>5</v>
      </c>
      <c r="AP147" s="3">
        <v>1</v>
      </c>
      <c r="AR147" s="2" t="s">
        <v>1107</v>
      </c>
    </row>
    <row r="148" spans="1:44" ht="12.75" customHeight="1">
      <c r="A148" s="4">
        <f>DATE(77,5,17)</f>
        <v>28262</v>
      </c>
      <c r="C148" s="2" t="s">
        <v>382</v>
      </c>
      <c r="E148" s="18">
        <v>2</v>
      </c>
      <c r="F148" s="18">
        <v>6</v>
      </c>
      <c r="G148" s="18">
        <v>1</v>
      </c>
      <c r="H148" s="18">
        <v>4</v>
      </c>
      <c r="I148" s="18" t="s">
        <v>162</v>
      </c>
      <c r="T148" s="3">
        <v>13</v>
      </c>
      <c r="U148" s="3">
        <v>17</v>
      </c>
      <c r="V148" s="3">
        <v>1</v>
      </c>
      <c r="X148" s="2" t="s">
        <v>1134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N148" s="3">
        <v>0</v>
      </c>
      <c r="AO148" s="3">
        <v>2</v>
      </c>
      <c r="AP148" s="3">
        <v>4</v>
      </c>
      <c r="AR148" s="2" t="s">
        <v>1135</v>
      </c>
    </row>
    <row r="149" spans="1:44" ht="12.75" customHeight="1">
      <c r="A149" s="4">
        <f>DATE(78,4,25)</f>
        <v>28605</v>
      </c>
      <c r="B149" s="2" t="s">
        <v>152</v>
      </c>
      <c r="C149" s="2" t="s">
        <v>382</v>
      </c>
      <c r="E149" s="18">
        <v>4</v>
      </c>
      <c r="F149" s="18">
        <v>6</v>
      </c>
      <c r="G149" s="18">
        <v>2</v>
      </c>
      <c r="H149" s="18">
        <v>3</v>
      </c>
      <c r="I149" s="18">
        <v>0</v>
      </c>
      <c r="T149" s="3">
        <v>15</v>
      </c>
      <c r="U149" s="3">
        <v>17</v>
      </c>
      <c r="V149" s="3">
        <v>0</v>
      </c>
      <c r="X149" s="2" t="s">
        <v>1157</v>
      </c>
      <c r="Y149" s="18">
        <v>0</v>
      </c>
      <c r="Z149" s="18">
        <v>2</v>
      </c>
      <c r="AA149" s="18">
        <v>0</v>
      </c>
      <c r="AB149" s="18">
        <v>0</v>
      </c>
      <c r="AC149" s="18">
        <v>0</v>
      </c>
      <c r="AN149" s="3">
        <v>2</v>
      </c>
      <c r="AO149" s="3">
        <v>2</v>
      </c>
      <c r="AP149" s="3">
        <v>0</v>
      </c>
      <c r="AR149" s="2" t="s">
        <v>1167</v>
      </c>
    </row>
    <row r="150" spans="1:44" ht="12.75" customHeight="1">
      <c r="A150" s="4">
        <f>DATE(78,5,18)</f>
        <v>28628</v>
      </c>
      <c r="C150" s="2" t="s">
        <v>382</v>
      </c>
      <c r="E150" s="18">
        <v>0</v>
      </c>
      <c r="F150" s="18">
        <v>0</v>
      </c>
      <c r="G150" s="18">
        <v>0</v>
      </c>
      <c r="H150" s="18">
        <v>1</v>
      </c>
      <c r="I150" s="18">
        <v>4</v>
      </c>
      <c r="J150" s="18">
        <v>2</v>
      </c>
      <c r="K150" s="18" t="s">
        <v>162</v>
      </c>
      <c r="T150" s="3">
        <v>7</v>
      </c>
      <c r="U150" s="3">
        <v>9</v>
      </c>
      <c r="V150" s="3">
        <v>2</v>
      </c>
      <c r="X150" s="2" t="s">
        <v>1178</v>
      </c>
      <c r="Y150" s="18">
        <v>0</v>
      </c>
      <c r="Z150" s="18">
        <v>0</v>
      </c>
      <c r="AA150" s="18">
        <v>0</v>
      </c>
      <c r="AB150" s="18">
        <v>1</v>
      </c>
      <c r="AC150" s="18">
        <v>0</v>
      </c>
      <c r="AD150" s="18">
        <v>0</v>
      </c>
      <c r="AE150" s="18">
        <v>1</v>
      </c>
      <c r="AN150" s="3">
        <v>2</v>
      </c>
      <c r="AO150" s="3">
        <v>4</v>
      </c>
      <c r="AP150" s="3">
        <v>3</v>
      </c>
      <c r="AR150" s="2" t="s">
        <v>1179</v>
      </c>
    </row>
    <row r="151" spans="1:44" ht="12.75" customHeight="1">
      <c r="A151" s="4">
        <f>DATE(79,4,3)</f>
        <v>28948</v>
      </c>
      <c r="C151" s="2" t="s">
        <v>382</v>
      </c>
      <c r="E151" s="18">
        <v>1</v>
      </c>
      <c r="F151" s="18">
        <v>3</v>
      </c>
      <c r="G151" s="18">
        <v>0</v>
      </c>
      <c r="H151" s="18">
        <v>0</v>
      </c>
      <c r="I151" s="18">
        <v>0</v>
      </c>
      <c r="J151" s="18">
        <v>0</v>
      </c>
      <c r="K151" s="18" t="s">
        <v>162</v>
      </c>
      <c r="T151" s="3">
        <v>4</v>
      </c>
      <c r="U151" s="3">
        <v>7</v>
      </c>
      <c r="V151" s="3">
        <v>2</v>
      </c>
      <c r="X151" s="2" t="s">
        <v>1191</v>
      </c>
      <c r="Y151" s="18">
        <v>2</v>
      </c>
      <c r="Z151" s="18">
        <v>0</v>
      </c>
      <c r="AA151" s="18">
        <v>0</v>
      </c>
      <c r="AB151" s="18">
        <v>0</v>
      </c>
      <c r="AC151" s="18">
        <v>0</v>
      </c>
      <c r="AD151" s="18">
        <v>1</v>
      </c>
      <c r="AE151" s="18">
        <v>0</v>
      </c>
      <c r="AN151" s="3">
        <v>3</v>
      </c>
      <c r="AO151" s="3">
        <v>5</v>
      </c>
      <c r="AP151" s="3">
        <v>3</v>
      </c>
      <c r="AR151" s="2" t="s">
        <v>1192</v>
      </c>
    </row>
    <row r="152" spans="1:44" ht="12.75" customHeight="1">
      <c r="A152" s="4">
        <f>DATE(79,4,30)</f>
        <v>28975</v>
      </c>
      <c r="B152" s="2" t="s">
        <v>152</v>
      </c>
      <c r="C152" s="2" t="s">
        <v>382</v>
      </c>
      <c r="E152" s="18">
        <v>0</v>
      </c>
      <c r="F152" s="18">
        <v>7</v>
      </c>
      <c r="G152" s="18">
        <v>0</v>
      </c>
      <c r="H152" s="18">
        <v>2</v>
      </c>
      <c r="I152" s="18">
        <v>0</v>
      </c>
      <c r="J152" s="18">
        <v>0</v>
      </c>
      <c r="K152" s="18">
        <v>4</v>
      </c>
      <c r="T152" s="3">
        <v>13</v>
      </c>
      <c r="U152" s="3">
        <v>10</v>
      </c>
      <c r="V152" s="3">
        <v>1</v>
      </c>
      <c r="X152" s="2" t="s">
        <v>1210</v>
      </c>
      <c r="Y152" s="18">
        <v>0</v>
      </c>
      <c r="Z152" s="18">
        <v>0</v>
      </c>
      <c r="AA152" s="18">
        <v>2</v>
      </c>
      <c r="AB152" s="18">
        <v>0</v>
      </c>
      <c r="AC152" s="18">
        <v>0</v>
      </c>
      <c r="AD152" s="18">
        <v>0</v>
      </c>
      <c r="AE152" s="18" t="s">
        <v>162</v>
      </c>
      <c r="AN152" s="3">
        <v>2</v>
      </c>
      <c r="AO152" s="3">
        <v>3</v>
      </c>
      <c r="AP152" s="3">
        <v>2</v>
      </c>
      <c r="AR152" s="2" t="s">
        <v>1211</v>
      </c>
    </row>
    <row r="153" spans="1:44" ht="12.75" customHeight="1">
      <c r="A153" s="4">
        <f>DATE(80,4,11)</f>
        <v>29322</v>
      </c>
      <c r="C153" s="2" t="s">
        <v>382</v>
      </c>
      <c r="E153" s="18">
        <v>1</v>
      </c>
      <c r="F153" s="18">
        <v>0</v>
      </c>
      <c r="G153" s="18">
        <v>0</v>
      </c>
      <c r="H153" s="18">
        <v>2</v>
      </c>
      <c r="I153" s="18">
        <v>2</v>
      </c>
      <c r="J153" s="18">
        <v>3</v>
      </c>
      <c r="K153" s="18" t="s">
        <v>162</v>
      </c>
      <c r="T153" s="3">
        <v>8</v>
      </c>
      <c r="U153" s="3">
        <v>12</v>
      </c>
      <c r="V153" s="3">
        <v>5</v>
      </c>
      <c r="X153" s="2" t="s">
        <v>1249</v>
      </c>
      <c r="Y153" s="18">
        <v>2</v>
      </c>
      <c r="Z153" s="18">
        <v>0</v>
      </c>
      <c r="AA153" s="18">
        <v>0</v>
      </c>
      <c r="AB153" s="18">
        <v>2</v>
      </c>
      <c r="AC153" s="18">
        <v>0</v>
      </c>
      <c r="AD153" s="18">
        <v>0</v>
      </c>
      <c r="AE153" s="18">
        <v>0</v>
      </c>
      <c r="AN153" s="3">
        <v>4</v>
      </c>
      <c r="AO153" s="3">
        <v>7</v>
      </c>
      <c r="AP153" s="3">
        <v>3</v>
      </c>
      <c r="AR153" s="2" t="s">
        <v>289</v>
      </c>
    </row>
    <row r="154" spans="1:44" ht="12.75" customHeight="1">
      <c r="A154" s="4">
        <f>DATE(80,5,6)</f>
        <v>29347</v>
      </c>
      <c r="B154" s="2" t="s">
        <v>152</v>
      </c>
      <c r="C154" s="2" t="s">
        <v>382</v>
      </c>
      <c r="E154" s="18">
        <v>2</v>
      </c>
      <c r="F154" s="18">
        <v>5</v>
      </c>
      <c r="G154" s="18">
        <v>3</v>
      </c>
      <c r="H154" s="18">
        <v>3</v>
      </c>
      <c r="I154" s="18">
        <v>0</v>
      </c>
      <c r="T154" s="3">
        <v>13</v>
      </c>
      <c r="U154" s="3">
        <v>12</v>
      </c>
      <c r="V154" s="3">
        <v>1</v>
      </c>
      <c r="X154" s="2" t="s">
        <v>1298</v>
      </c>
      <c r="Y154" s="18">
        <v>0</v>
      </c>
      <c r="Z154" s="18">
        <v>3</v>
      </c>
      <c r="AA154" s="18">
        <v>0</v>
      </c>
      <c r="AB154" s="18">
        <v>0</v>
      </c>
      <c r="AC154" s="18">
        <v>0</v>
      </c>
      <c r="AN154" s="3">
        <v>3</v>
      </c>
      <c r="AO154" s="3">
        <v>3</v>
      </c>
      <c r="AP154" s="3">
        <v>8</v>
      </c>
      <c r="AR154" s="2" t="s">
        <v>1299</v>
      </c>
    </row>
    <row r="155" spans="1:44" ht="12.75" customHeight="1">
      <c r="A155" s="4">
        <f>DATE(81,4,22)</f>
        <v>29698</v>
      </c>
      <c r="C155" s="2" t="s">
        <v>382</v>
      </c>
      <c r="E155" s="18">
        <v>4</v>
      </c>
      <c r="F155" s="18">
        <v>0</v>
      </c>
      <c r="G155" s="18">
        <v>1</v>
      </c>
      <c r="H155" s="18">
        <v>0</v>
      </c>
      <c r="I155" s="18">
        <v>0</v>
      </c>
      <c r="J155" s="18">
        <v>0</v>
      </c>
      <c r="K155" s="18" t="s">
        <v>162</v>
      </c>
      <c r="T155" s="3">
        <v>5</v>
      </c>
      <c r="U155" s="3">
        <v>7</v>
      </c>
      <c r="V155" s="3">
        <v>5</v>
      </c>
      <c r="X155" s="2" t="s">
        <v>1339</v>
      </c>
      <c r="Y155" s="18">
        <v>2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1</v>
      </c>
      <c r="AN155" s="3">
        <v>3</v>
      </c>
      <c r="AO155" s="3">
        <v>5</v>
      </c>
      <c r="AP155" s="3">
        <v>3</v>
      </c>
      <c r="AR155" s="2" t="s">
        <v>1340</v>
      </c>
    </row>
    <row r="156" spans="1:44" ht="12.75" customHeight="1">
      <c r="A156" s="4">
        <f>DATE(81,5,7)</f>
        <v>29713</v>
      </c>
      <c r="B156" s="2" t="s">
        <v>152</v>
      </c>
      <c r="C156" s="2" t="s">
        <v>382</v>
      </c>
      <c r="E156" s="18">
        <v>2</v>
      </c>
      <c r="F156" s="18">
        <v>3</v>
      </c>
      <c r="G156" s="18">
        <v>1</v>
      </c>
      <c r="H156" s="18">
        <v>0</v>
      </c>
      <c r="I156" s="18">
        <v>1</v>
      </c>
      <c r="J156" s="18">
        <v>0</v>
      </c>
      <c r="K156" s="18">
        <v>1</v>
      </c>
      <c r="T156" s="3">
        <v>8</v>
      </c>
      <c r="U156" s="3">
        <v>11</v>
      </c>
      <c r="V156" s="3">
        <v>2</v>
      </c>
      <c r="X156" s="2" t="s">
        <v>1320</v>
      </c>
      <c r="Y156" s="18">
        <v>0</v>
      </c>
      <c r="Z156" s="18">
        <v>1</v>
      </c>
      <c r="AA156" s="18">
        <v>0</v>
      </c>
      <c r="AB156" s="18">
        <v>0</v>
      </c>
      <c r="AC156" s="18">
        <v>0</v>
      </c>
      <c r="AD156" s="18">
        <v>1</v>
      </c>
      <c r="AE156" s="18">
        <v>0</v>
      </c>
      <c r="AN156" s="3">
        <v>2</v>
      </c>
      <c r="AO156" s="3">
        <v>3</v>
      </c>
      <c r="AP156" s="3">
        <v>2</v>
      </c>
      <c r="AR156" s="2" t="s">
        <v>1347</v>
      </c>
    </row>
    <row r="157" spans="1:44" ht="12.75" customHeight="1">
      <c r="A157" s="4">
        <f>DATE(82,4,15)</f>
        <v>30056</v>
      </c>
      <c r="C157" s="2" t="s">
        <v>382</v>
      </c>
      <c r="E157" s="18">
        <v>0</v>
      </c>
      <c r="F157" s="18">
        <v>0</v>
      </c>
      <c r="G157" s="18">
        <v>0</v>
      </c>
      <c r="H157" s="18">
        <v>0</v>
      </c>
      <c r="I157" s="18">
        <v>5</v>
      </c>
      <c r="J157" s="18">
        <v>0</v>
      </c>
      <c r="K157" s="18" t="s">
        <v>162</v>
      </c>
      <c r="T157" s="3">
        <v>5</v>
      </c>
      <c r="U157" s="3">
        <v>8</v>
      </c>
      <c r="V157" s="3">
        <v>2</v>
      </c>
      <c r="X157" s="2" t="s">
        <v>1356</v>
      </c>
      <c r="Y157" s="18">
        <v>0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N157" s="3">
        <v>0</v>
      </c>
      <c r="AO157" s="3">
        <v>1</v>
      </c>
      <c r="AP157" s="3">
        <v>5</v>
      </c>
      <c r="AR157" s="2" t="s">
        <v>1371</v>
      </c>
    </row>
    <row r="158" spans="1:44" ht="12.75" customHeight="1">
      <c r="A158" s="4">
        <f>DATE(82,5,11)</f>
        <v>30082</v>
      </c>
      <c r="B158" s="2" t="s">
        <v>152</v>
      </c>
      <c r="C158" s="2" t="s">
        <v>382</v>
      </c>
      <c r="E158" s="18">
        <v>3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1</v>
      </c>
      <c r="T158" s="3">
        <v>4</v>
      </c>
      <c r="U158" s="3">
        <v>11</v>
      </c>
      <c r="V158" s="3">
        <v>0</v>
      </c>
      <c r="X158" s="2" t="s">
        <v>1356</v>
      </c>
      <c r="Y158" s="18">
        <v>1</v>
      </c>
      <c r="Z158" s="18">
        <v>0</v>
      </c>
      <c r="AA158" s="18">
        <v>0</v>
      </c>
      <c r="AB158" s="18">
        <v>2</v>
      </c>
      <c r="AC158" s="18">
        <v>0</v>
      </c>
      <c r="AD158" s="18">
        <v>0</v>
      </c>
      <c r="AE158" s="18">
        <v>0</v>
      </c>
      <c r="AN158" s="3">
        <v>3</v>
      </c>
      <c r="AO158" s="3">
        <v>7</v>
      </c>
      <c r="AP158" s="3">
        <v>0</v>
      </c>
      <c r="AR158" s="2" t="s">
        <v>306</v>
      </c>
    </row>
    <row r="159" spans="1:44" ht="12.75" customHeight="1">
      <c r="A159" s="5">
        <v>36281</v>
      </c>
      <c r="C159" s="2" t="s">
        <v>382</v>
      </c>
      <c r="E159" s="18">
        <v>2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T159" s="3">
        <f>SUM(E159:S159)</f>
        <v>2</v>
      </c>
      <c r="U159" s="3">
        <v>5</v>
      </c>
      <c r="V159" s="3">
        <v>6</v>
      </c>
      <c r="X159" s="2" t="s">
        <v>618</v>
      </c>
      <c r="Y159" s="18">
        <v>0</v>
      </c>
      <c r="Z159" s="18">
        <v>0</v>
      </c>
      <c r="AA159" s="18">
        <v>2</v>
      </c>
      <c r="AB159" s="18">
        <v>0</v>
      </c>
      <c r="AC159" s="18">
        <v>1</v>
      </c>
      <c r="AD159" s="18">
        <v>3</v>
      </c>
      <c r="AN159" s="3">
        <f>SUM(Y159:AM159)</f>
        <v>6</v>
      </c>
      <c r="AO159" s="3">
        <v>12</v>
      </c>
      <c r="AP159" s="3">
        <v>2</v>
      </c>
      <c r="AR159" s="2" t="s">
        <v>2397</v>
      </c>
    </row>
    <row r="160" spans="1:44" ht="12.75" customHeight="1">
      <c r="A160" s="4">
        <f>DATE(82,5,1)</f>
        <v>30072</v>
      </c>
      <c r="C160" s="2" t="s">
        <v>304</v>
      </c>
      <c r="E160" s="18">
        <v>5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3</v>
      </c>
      <c r="T160" s="3">
        <v>8</v>
      </c>
      <c r="U160" s="3">
        <v>9</v>
      </c>
      <c r="V160" s="3">
        <v>2</v>
      </c>
      <c r="X160" s="2" t="s">
        <v>1384</v>
      </c>
      <c r="Y160" s="18">
        <v>0</v>
      </c>
      <c r="Z160" s="18">
        <v>2</v>
      </c>
      <c r="AA160" s="18">
        <v>2</v>
      </c>
      <c r="AB160" s="18">
        <v>4</v>
      </c>
      <c r="AC160" s="18">
        <v>4</v>
      </c>
      <c r="AD160" s="18">
        <v>0</v>
      </c>
      <c r="AE160" s="18">
        <v>0</v>
      </c>
      <c r="AN160" s="3">
        <v>12</v>
      </c>
      <c r="AO160" s="3">
        <v>12</v>
      </c>
      <c r="AP160" s="3">
        <v>1</v>
      </c>
      <c r="AR160" s="2" t="s">
        <v>1385</v>
      </c>
    </row>
    <row r="161" spans="1:44" ht="12.75" customHeight="1">
      <c r="A161" s="4">
        <f>DATE(83,4,30)</f>
        <v>30436</v>
      </c>
      <c r="C161" s="2" t="s">
        <v>304</v>
      </c>
      <c r="E161" s="18">
        <v>1</v>
      </c>
      <c r="F161" s="18">
        <v>1</v>
      </c>
      <c r="G161" s="18">
        <v>1</v>
      </c>
      <c r="H161" s="18">
        <v>3</v>
      </c>
      <c r="I161" s="18">
        <v>0</v>
      </c>
      <c r="J161" s="18">
        <v>0</v>
      </c>
      <c r="K161" s="18">
        <v>0</v>
      </c>
      <c r="T161" s="3">
        <v>6</v>
      </c>
      <c r="U161" s="3">
        <v>7</v>
      </c>
      <c r="V161" s="3">
        <v>2</v>
      </c>
      <c r="X161" s="2" t="s">
        <v>1378</v>
      </c>
      <c r="Y161" s="18">
        <v>0</v>
      </c>
      <c r="Z161" s="18">
        <v>0</v>
      </c>
      <c r="AA161" s="18">
        <v>2</v>
      </c>
      <c r="AB161" s="18">
        <v>1</v>
      </c>
      <c r="AC161" s="18">
        <v>1</v>
      </c>
      <c r="AD161" s="18">
        <v>2</v>
      </c>
      <c r="AE161" s="18">
        <v>1</v>
      </c>
      <c r="AN161" s="3">
        <v>7</v>
      </c>
      <c r="AO161" s="3">
        <v>11</v>
      </c>
      <c r="AP161" s="3">
        <v>2</v>
      </c>
      <c r="AR161" s="2" t="s">
        <v>1418</v>
      </c>
    </row>
    <row r="162" spans="1:44" ht="12.75" customHeight="1">
      <c r="A162" s="4">
        <v>15097</v>
      </c>
      <c r="B162" s="2" t="s">
        <v>152</v>
      </c>
      <c r="C162" s="2" t="s">
        <v>174</v>
      </c>
      <c r="E162" s="18">
        <v>0</v>
      </c>
      <c r="F162" s="18">
        <v>1</v>
      </c>
      <c r="G162" s="18">
        <v>0</v>
      </c>
      <c r="H162" s="18">
        <v>1</v>
      </c>
      <c r="I162" s="18">
        <v>1</v>
      </c>
      <c r="J162" s="18">
        <v>0</v>
      </c>
      <c r="K162" s="18">
        <v>0</v>
      </c>
      <c r="T162" s="3">
        <v>3</v>
      </c>
      <c r="U162" s="3" t="s">
        <v>162</v>
      </c>
      <c r="V162" s="3" t="s">
        <v>162</v>
      </c>
      <c r="X162" s="2" t="s">
        <v>1746</v>
      </c>
      <c r="Y162" s="18">
        <v>0</v>
      </c>
      <c r="Z162" s="18">
        <v>1</v>
      </c>
      <c r="AA162" s="18">
        <v>1</v>
      </c>
      <c r="AB162" s="18">
        <v>0</v>
      </c>
      <c r="AC162" s="18">
        <v>0</v>
      </c>
      <c r="AD162" s="18">
        <v>0</v>
      </c>
      <c r="AE162" s="18">
        <v>0</v>
      </c>
      <c r="AN162" s="3">
        <v>2</v>
      </c>
      <c r="AO162" s="3" t="s">
        <v>162</v>
      </c>
      <c r="AP162" s="3" t="s">
        <v>162</v>
      </c>
      <c r="AR162" s="2" t="s">
        <v>345</v>
      </c>
    </row>
    <row r="163" spans="1:44" ht="12.75" customHeight="1">
      <c r="A163" s="20">
        <v>1945</v>
      </c>
      <c r="C163" s="2" t="s">
        <v>174</v>
      </c>
      <c r="T163" s="3">
        <v>4</v>
      </c>
      <c r="U163" s="3" t="s">
        <v>162</v>
      </c>
      <c r="V163" s="3" t="s">
        <v>162</v>
      </c>
      <c r="X163" s="2" t="s">
        <v>27</v>
      </c>
      <c r="AN163" s="3">
        <v>2</v>
      </c>
      <c r="AO163" s="3" t="s">
        <v>162</v>
      </c>
      <c r="AP163" s="3" t="s">
        <v>162</v>
      </c>
      <c r="AR163" s="2" t="s">
        <v>27</v>
      </c>
    </row>
    <row r="164" spans="1:44" ht="12.75" customHeight="1">
      <c r="A164" s="20">
        <v>1948</v>
      </c>
      <c r="B164" s="2" t="s">
        <v>152</v>
      </c>
      <c r="C164" s="2" t="s">
        <v>174</v>
      </c>
      <c r="E164" s="18">
        <v>0</v>
      </c>
      <c r="F164" s="18">
        <v>0</v>
      </c>
      <c r="G164" s="18">
        <v>0</v>
      </c>
      <c r="H164" s="18">
        <v>0</v>
      </c>
      <c r="I164" s="18">
        <v>3</v>
      </c>
      <c r="J164" s="18">
        <v>1</v>
      </c>
      <c r="K164" s="18" t="s">
        <v>162</v>
      </c>
      <c r="T164" s="3">
        <v>4</v>
      </c>
      <c r="U164" s="3">
        <v>5</v>
      </c>
      <c r="V164" s="3">
        <v>1</v>
      </c>
      <c r="X164" s="2" t="s">
        <v>76</v>
      </c>
      <c r="Y164" s="18">
        <v>0</v>
      </c>
      <c r="Z164" s="18">
        <v>0</v>
      </c>
      <c r="AA164" s="18">
        <v>0</v>
      </c>
      <c r="AB164" s="18">
        <v>2</v>
      </c>
      <c r="AC164" s="18">
        <v>1</v>
      </c>
      <c r="AD164" s="18">
        <v>0</v>
      </c>
      <c r="AE164" s="18">
        <v>0</v>
      </c>
      <c r="AN164" s="3">
        <v>3</v>
      </c>
      <c r="AO164" s="3">
        <v>2</v>
      </c>
      <c r="AP164" s="3">
        <v>4</v>
      </c>
      <c r="AR164" s="2" t="s">
        <v>351</v>
      </c>
    </row>
    <row r="165" spans="1:44" ht="12.75" customHeight="1">
      <c r="A165" s="4">
        <v>18046</v>
      </c>
      <c r="B165" s="2" t="s">
        <v>152</v>
      </c>
      <c r="C165" s="2" t="s">
        <v>174</v>
      </c>
      <c r="E165" s="18">
        <v>0</v>
      </c>
      <c r="F165" s="18">
        <v>0</v>
      </c>
      <c r="G165" s="18">
        <v>3</v>
      </c>
      <c r="H165" s="18">
        <v>1</v>
      </c>
      <c r="I165" s="18">
        <v>0</v>
      </c>
      <c r="J165" s="18">
        <v>0</v>
      </c>
      <c r="K165" s="18">
        <v>0</v>
      </c>
      <c r="T165" s="3">
        <v>4</v>
      </c>
      <c r="U165" s="3">
        <v>4</v>
      </c>
      <c r="V165" s="3">
        <v>0</v>
      </c>
      <c r="X165" s="2" t="s">
        <v>80</v>
      </c>
      <c r="Y165" s="18">
        <v>0</v>
      </c>
      <c r="Z165" s="18">
        <v>0</v>
      </c>
      <c r="AA165" s="18">
        <v>1</v>
      </c>
      <c r="AB165" s="18">
        <v>0</v>
      </c>
      <c r="AC165" s="18">
        <v>1</v>
      </c>
      <c r="AD165" s="18">
        <v>1</v>
      </c>
      <c r="AE165" s="18">
        <v>0</v>
      </c>
      <c r="AN165" s="3">
        <v>3</v>
      </c>
      <c r="AO165" s="3">
        <v>3</v>
      </c>
      <c r="AP165" s="3">
        <v>1</v>
      </c>
      <c r="AR165" s="2" t="s">
        <v>2375</v>
      </c>
    </row>
    <row r="166" spans="1:44" ht="12.75" customHeight="1">
      <c r="A166" s="4">
        <v>18395</v>
      </c>
      <c r="C166" s="2" t="s">
        <v>174</v>
      </c>
      <c r="E166" s="18">
        <v>3</v>
      </c>
      <c r="F166" s="18">
        <v>0</v>
      </c>
      <c r="G166" s="18">
        <v>9</v>
      </c>
      <c r="H166" s="18">
        <v>0</v>
      </c>
      <c r="I166" s="18">
        <v>1</v>
      </c>
      <c r="J166" s="18">
        <v>4</v>
      </c>
      <c r="K166" s="18" t="s">
        <v>162</v>
      </c>
      <c r="T166" s="3">
        <f aca="true" t="shared" si="6" ref="T166:T172">SUM(E166:M166)</f>
        <v>17</v>
      </c>
      <c r="U166" s="3">
        <v>10</v>
      </c>
      <c r="V166" s="3">
        <v>2</v>
      </c>
      <c r="X166" s="2" t="s">
        <v>414</v>
      </c>
      <c r="Y166" s="18">
        <v>0</v>
      </c>
      <c r="Z166" s="18">
        <v>0</v>
      </c>
      <c r="AA166" s="18">
        <v>0</v>
      </c>
      <c r="AB166" s="18">
        <v>0</v>
      </c>
      <c r="AC166" s="18">
        <v>1</v>
      </c>
      <c r="AD166" s="18">
        <v>2</v>
      </c>
      <c r="AE166" s="18">
        <v>0</v>
      </c>
      <c r="AN166" s="3">
        <v>3</v>
      </c>
      <c r="AO166" s="3">
        <v>3</v>
      </c>
      <c r="AP166" s="3">
        <v>10</v>
      </c>
      <c r="AR166" s="2" t="s">
        <v>2374</v>
      </c>
    </row>
    <row r="167" spans="1:44" ht="12.75" customHeight="1">
      <c r="A167" s="4">
        <f>DATE(51,5,18)</f>
        <v>18766</v>
      </c>
      <c r="B167" s="2" t="s">
        <v>152</v>
      </c>
      <c r="C167" s="2" t="s">
        <v>174</v>
      </c>
      <c r="E167" s="18">
        <v>3</v>
      </c>
      <c r="F167" s="18">
        <v>0</v>
      </c>
      <c r="G167" s="18">
        <v>0</v>
      </c>
      <c r="H167" s="18">
        <v>0</v>
      </c>
      <c r="I167" s="18">
        <v>1</v>
      </c>
      <c r="J167" s="18">
        <v>0</v>
      </c>
      <c r="K167" s="18">
        <v>0</v>
      </c>
      <c r="T167" s="3">
        <f t="shared" si="6"/>
        <v>4</v>
      </c>
      <c r="U167" s="3">
        <v>6</v>
      </c>
      <c r="V167" s="3">
        <v>0</v>
      </c>
      <c r="X167" s="2" t="s">
        <v>1947</v>
      </c>
      <c r="Y167" s="18">
        <v>0</v>
      </c>
      <c r="Z167" s="18">
        <v>1</v>
      </c>
      <c r="AA167" s="18">
        <v>1</v>
      </c>
      <c r="AB167" s="18">
        <v>0</v>
      </c>
      <c r="AC167" s="18">
        <v>2</v>
      </c>
      <c r="AD167" s="18">
        <v>1</v>
      </c>
      <c r="AE167" s="18" t="s">
        <v>162</v>
      </c>
      <c r="AN167" s="3">
        <v>5</v>
      </c>
      <c r="AO167" s="3">
        <v>4</v>
      </c>
      <c r="AP167" s="3">
        <v>3</v>
      </c>
      <c r="AR167" s="2" t="s">
        <v>424</v>
      </c>
    </row>
    <row r="168" spans="1:44" ht="12.75" customHeight="1">
      <c r="A168" s="4">
        <f>DATE(51,5,24)</f>
        <v>18772</v>
      </c>
      <c r="C168" s="2" t="s">
        <v>174</v>
      </c>
      <c r="E168" s="18">
        <v>0</v>
      </c>
      <c r="F168" s="18">
        <v>0</v>
      </c>
      <c r="G168" s="18">
        <v>3</v>
      </c>
      <c r="H168" s="18">
        <v>3</v>
      </c>
      <c r="I168" s="18">
        <v>1</v>
      </c>
      <c r="J168" s="18">
        <v>0</v>
      </c>
      <c r="K168" s="18">
        <v>0</v>
      </c>
      <c r="T168" s="3">
        <f t="shared" si="6"/>
        <v>7</v>
      </c>
      <c r="U168" s="3">
        <v>4</v>
      </c>
      <c r="V168" s="3">
        <v>6</v>
      </c>
      <c r="X168" s="2" t="s">
        <v>1942</v>
      </c>
      <c r="Y168" s="18">
        <v>3</v>
      </c>
      <c r="Z168" s="18">
        <v>0</v>
      </c>
      <c r="AA168" s="18">
        <v>2</v>
      </c>
      <c r="AB168" s="18">
        <v>0</v>
      </c>
      <c r="AC168" s="18">
        <v>3</v>
      </c>
      <c r="AD168" s="18">
        <v>1</v>
      </c>
      <c r="AE168" s="18">
        <v>2</v>
      </c>
      <c r="AN168" s="3">
        <v>11</v>
      </c>
      <c r="AO168" s="3">
        <v>13</v>
      </c>
      <c r="AP168" s="3">
        <v>2</v>
      </c>
      <c r="AR168" s="2" t="s">
        <v>1949</v>
      </c>
    </row>
    <row r="169" spans="1:44" ht="12.75" customHeight="1">
      <c r="A169" s="4">
        <f>DATE(52,4,18)</f>
        <v>19102</v>
      </c>
      <c r="B169" s="2" t="s">
        <v>152</v>
      </c>
      <c r="C169" s="2" t="s">
        <v>174</v>
      </c>
      <c r="E169" s="18">
        <v>0</v>
      </c>
      <c r="F169" s="18">
        <v>0</v>
      </c>
      <c r="G169" s="18">
        <v>0</v>
      </c>
      <c r="H169" s="18">
        <v>0</v>
      </c>
      <c r="I169" s="18">
        <v>1</v>
      </c>
      <c r="J169" s="18">
        <v>0</v>
      </c>
      <c r="K169" s="18">
        <v>0</v>
      </c>
      <c r="T169" s="3">
        <f t="shared" si="6"/>
        <v>1</v>
      </c>
      <c r="U169" s="3">
        <v>3</v>
      </c>
      <c r="V169" s="3">
        <v>3</v>
      </c>
      <c r="X169" s="2" t="s">
        <v>1942</v>
      </c>
      <c r="Y169" s="18">
        <v>0</v>
      </c>
      <c r="Z169" s="18">
        <v>2</v>
      </c>
      <c r="AA169" s="18">
        <v>5</v>
      </c>
      <c r="AB169" s="18">
        <v>0</v>
      </c>
      <c r="AC169" s="18">
        <v>1</v>
      </c>
      <c r="AD169" s="18">
        <v>1</v>
      </c>
      <c r="AE169" s="18" t="s">
        <v>162</v>
      </c>
      <c r="AN169" s="3">
        <v>9</v>
      </c>
      <c r="AO169" s="3">
        <v>9</v>
      </c>
      <c r="AP169" s="3">
        <v>1</v>
      </c>
      <c r="AR169" s="2" t="s">
        <v>633</v>
      </c>
    </row>
    <row r="170" spans="1:44" ht="12.75" customHeight="1">
      <c r="A170" s="4">
        <f>DATE(52,5,22)</f>
        <v>19136</v>
      </c>
      <c r="C170" s="2" t="s">
        <v>174</v>
      </c>
      <c r="E170" s="18">
        <v>0</v>
      </c>
      <c r="F170" s="18">
        <v>0</v>
      </c>
      <c r="G170" s="18">
        <v>1</v>
      </c>
      <c r="H170" s="18">
        <v>0</v>
      </c>
      <c r="I170" s="18">
        <v>0</v>
      </c>
      <c r="J170" s="18">
        <v>0</v>
      </c>
      <c r="K170" s="18">
        <v>0</v>
      </c>
      <c r="T170" s="3">
        <f t="shared" si="6"/>
        <v>1</v>
      </c>
      <c r="U170" s="3">
        <v>4</v>
      </c>
      <c r="V170" s="3">
        <v>2</v>
      </c>
      <c r="X170" s="2" t="s">
        <v>635</v>
      </c>
      <c r="Y170" s="18">
        <v>0</v>
      </c>
      <c r="Z170" s="18">
        <v>3</v>
      </c>
      <c r="AA170" s="18">
        <v>0</v>
      </c>
      <c r="AB170" s="18">
        <v>0</v>
      </c>
      <c r="AC170" s="18">
        <v>1</v>
      </c>
      <c r="AD170" s="18">
        <v>0</v>
      </c>
      <c r="AE170" s="18">
        <v>1</v>
      </c>
      <c r="AN170" s="3">
        <v>5</v>
      </c>
      <c r="AO170" s="3">
        <v>7</v>
      </c>
      <c r="AP170" s="3">
        <v>0</v>
      </c>
      <c r="AR170" s="2" t="s">
        <v>1951</v>
      </c>
    </row>
    <row r="171" spans="1:44" ht="12.75" customHeight="1">
      <c r="A171" s="4">
        <f>DATE(53,5,11)</f>
        <v>19490</v>
      </c>
      <c r="C171" s="2" t="s">
        <v>174</v>
      </c>
      <c r="E171" s="18">
        <v>0</v>
      </c>
      <c r="F171" s="18">
        <v>0</v>
      </c>
      <c r="G171" s="18">
        <v>0</v>
      </c>
      <c r="H171" s="18">
        <v>0</v>
      </c>
      <c r="I171" s="18">
        <v>1</v>
      </c>
      <c r="J171" s="18">
        <v>0</v>
      </c>
      <c r="K171" s="18" t="s">
        <v>162</v>
      </c>
      <c r="T171" s="3">
        <f t="shared" si="6"/>
        <v>1</v>
      </c>
      <c r="U171" s="3">
        <v>2</v>
      </c>
      <c r="V171" s="3">
        <v>0</v>
      </c>
      <c r="X171" s="2" t="s">
        <v>649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N171" s="3">
        <v>0</v>
      </c>
      <c r="AO171" s="3">
        <v>3</v>
      </c>
      <c r="AP171" s="3">
        <v>2</v>
      </c>
      <c r="AR171" s="2" t="s">
        <v>650</v>
      </c>
    </row>
    <row r="172" spans="1:44" ht="12.75" customHeight="1">
      <c r="A172" s="4">
        <f>DATE(53,5,18)</f>
        <v>19497</v>
      </c>
      <c r="B172" s="2" t="s">
        <v>152</v>
      </c>
      <c r="C172" s="2" t="s">
        <v>174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T172" s="3">
        <f t="shared" si="6"/>
        <v>0</v>
      </c>
      <c r="U172" s="3">
        <v>1</v>
      </c>
      <c r="V172" s="3">
        <v>5</v>
      </c>
      <c r="X172" s="2" t="s">
        <v>653</v>
      </c>
      <c r="Y172" s="18">
        <v>2</v>
      </c>
      <c r="Z172" s="18">
        <v>0</v>
      </c>
      <c r="AA172" s="18">
        <v>0</v>
      </c>
      <c r="AB172" s="18">
        <v>1</v>
      </c>
      <c r="AC172" s="18">
        <v>4</v>
      </c>
      <c r="AD172" s="18">
        <v>1</v>
      </c>
      <c r="AE172" s="18" t="s">
        <v>162</v>
      </c>
      <c r="AN172" s="3">
        <v>8</v>
      </c>
      <c r="AO172" s="3">
        <v>8</v>
      </c>
      <c r="AP172" s="3">
        <v>1</v>
      </c>
      <c r="AR172" s="2" t="s">
        <v>654</v>
      </c>
    </row>
    <row r="173" spans="1:44" ht="12.75" customHeight="1">
      <c r="A173" s="4">
        <f>DATE(54,4,21)</f>
        <v>19835</v>
      </c>
      <c r="B173" s="2" t="s">
        <v>152</v>
      </c>
      <c r="C173" s="2" t="s">
        <v>174</v>
      </c>
      <c r="E173" s="18">
        <v>0</v>
      </c>
      <c r="F173" s="18">
        <v>0</v>
      </c>
      <c r="G173" s="18">
        <v>0</v>
      </c>
      <c r="H173" s="18">
        <v>2</v>
      </c>
      <c r="I173" s="18">
        <v>1</v>
      </c>
      <c r="J173" s="18">
        <v>0</v>
      </c>
      <c r="K173" s="18">
        <v>1</v>
      </c>
      <c r="T173" s="3">
        <v>4</v>
      </c>
      <c r="U173" s="3">
        <v>6</v>
      </c>
      <c r="V173" s="3">
        <v>5</v>
      </c>
      <c r="X173" s="2" t="s">
        <v>657</v>
      </c>
      <c r="Y173" s="18">
        <v>5</v>
      </c>
      <c r="Z173" s="18">
        <v>2</v>
      </c>
      <c r="AA173" s="18">
        <v>2</v>
      </c>
      <c r="AB173" s="18">
        <v>2</v>
      </c>
      <c r="AC173" s="18">
        <v>7</v>
      </c>
      <c r="AD173" s="18">
        <v>0</v>
      </c>
      <c r="AE173" s="18" t="s">
        <v>162</v>
      </c>
      <c r="AN173" s="3">
        <v>18</v>
      </c>
      <c r="AO173" s="3">
        <v>17</v>
      </c>
      <c r="AP173" s="3">
        <v>3</v>
      </c>
      <c r="AR173" s="2" t="s">
        <v>658</v>
      </c>
    </row>
    <row r="174" spans="1:44" ht="12.75" customHeight="1">
      <c r="A174" s="4">
        <f>DATE(54,5,18)</f>
        <v>19862</v>
      </c>
      <c r="C174" s="2" t="s">
        <v>174</v>
      </c>
      <c r="E174" s="18">
        <v>0</v>
      </c>
      <c r="F174" s="18">
        <v>2</v>
      </c>
      <c r="G174" s="18">
        <v>0</v>
      </c>
      <c r="H174" s="18">
        <v>1</v>
      </c>
      <c r="I174" s="18">
        <v>0</v>
      </c>
      <c r="J174" s="18">
        <v>0</v>
      </c>
      <c r="K174" s="18">
        <v>0</v>
      </c>
      <c r="T174" s="3">
        <v>3</v>
      </c>
      <c r="U174" s="3">
        <v>7</v>
      </c>
      <c r="V174" s="3">
        <v>3</v>
      </c>
      <c r="X174" s="2" t="s">
        <v>663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5</v>
      </c>
      <c r="AE174" s="18">
        <v>0</v>
      </c>
      <c r="AN174" s="3">
        <v>5</v>
      </c>
      <c r="AO174" s="3">
        <v>7</v>
      </c>
      <c r="AP174" s="3">
        <v>1</v>
      </c>
      <c r="AR174" s="2" t="s">
        <v>219</v>
      </c>
    </row>
    <row r="175" spans="1:44" ht="12.75" customHeight="1">
      <c r="A175" s="4">
        <f>DATE(55,4,19)</f>
        <v>20198</v>
      </c>
      <c r="C175" s="2" t="s">
        <v>174</v>
      </c>
      <c r="E175" s="18">
        <v>0</v>
      </c>
      <c r="F175" s="18">
        <v>0</v>
      </c>
      <c r="G175" s="18">
        <v>2</v>
      </c>
      <c r="H175" s="18">
        <v>1</v>
      </c>
      <c r="I175" s="18">
        <v>0</v>
      </c>
      <c r="J175" s="18">
        <v>0</v>
      </c>
      <c r="K175" s="18">
        <v>0</v>
      </c>
      <c r="T175" s="3">
        <v>3</v>
      </c>
      <c r="U175" s="3">
        <v>5</v>
      </c>
      <c r="V175" s="3">
        <v>2</v>
      </c>
      <c r="X175" s="2" t="s">
        <v>4</v>
      </c>
      <c r="Y175" s="18">
        <v>0</v>
      </c>
      <c r="Z175" s="18">
        <v>0</v>
      </c>
      <c r="AA175" s="18">
        <v>0</v>
      </c>
      <c r="AB175" s="18">
        <v>3</v>
      </c>
      <c r="AC175" s="18">
        <v>0</v>
      </c>
      <c r="AD175" s="18">
        <v>1</v>
      </c>
      <c r="AE175" s="18">
        <v>1</v>
      </c>
      <c r="AN175" s="3">
        <v>5</v>
      </c>
      <c r="AO175" s="3">
        <v>5</v>
      </c>
      <c r="AP175" s="3">
        <v>1</v>
      </c>
      <c r="AR175" s="2" t="s">
        <v>658</v>
      </c>
    </row>
    <row r="176" spans="1:44" ht="12.75" customHeight="1">
      <c r="A176" s="4">
        <f>DATE(55,5,17)</f>
        <v>20226</v>
      </c>
      <c r="B176" s="2" t="s">
        <v>152</v>
      </c>
      <c r="C176" s="2" t="s">
        <v>174</v>
      </c>
      <c r="E176" s="18">
        <v>1</v>
      </c>
      <c r="F176" s="18">
        <v>0</v>
      </c>
      <c r="G176" s="18">
        <v>0</v>
      </c>
      <c r="H176" s="18">
        <v>2</v>
      </c>
      <c r="I176" s="18">
        <v>0</v>
      </c>
      <c r="J176" s="18">
        <v>3</v>
      </c>
      <c r="K176" s="18">
        <v>0</v>
      </c>
      <c r="T176" s="3">
        <v>6</v>
      </c>
      <c r="U176" s="3">
        <v>7</v>
      </c>
      <c r="V176" s="3">
        <v>3</v>
      </c>
      <c r="X176" s="2" t="s">
        <v>674</v>
      </c>
      <c r="Y176" s="18">
        <v>0</v>
      </c>
      <c r="Z176" s="18">
        <v>2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N176" s="3">
        <v>2</v>
      </c>
      <c r="AO176" s="3">
        <v>9</v>
      </c>
      <c r="AP176" s="3">
        <v>3</v>
      </c>
      <c r="AR176" s="2" t="s">
        <v>658</v>
      </c>
    </row>
    <row r="177" spans="1:44" ht="12.75" customHeight="1">
      <c r="A177" s="4">
        <f>DATE(56,5,15)</f>
        <v>20590</v>
      </c>
      <c r="C177" s="2" t="s">
        <v>174</v>
      </c>
      <c r="E177" s="18">
        <v>0</v>
      </c>
      <c r="F177" s="18">
        <v>3</v>
      </c>
      <c r="G177" s="18">
        <v>1</v>
      </c>
      <c r="H177" s="18">
        <v>0</v>
      </c>
      <c r="I177" s="18">
        <v>0</v>
      </c>
      <c r="J177" s="18">
        <v>0</v>
      </c>
      <c r="K177" s="18">
        <v>1</v>
      </c>
      <c r="T177" s="3">
        <v>5</v>
      </c>
      <c r="U177" s="3">
        <v>9</v>
      </c>
      <c r="V177" s="3">
        <v>5</v>
      </c>
      <c r="X177" s="2" t="s">
        <v>686</v>
      </c>
      <c r="Y177" s="18">
        <v>0</v>
      </c>
      <c r="Z177" s="18">
        <v>0</v>
      </c>
      <c r="AA177" s="18">
        <v>0</v>
      </c>
      <c r="AB177" s="18">
        <v>4</v>
      </c>
      <c r="AC177" s="18">
        <v>2</v>
      </c>
      <c r="AD177" s="18">
        <v>4</v>
      </c>
      <c r="AE177" s="18">
        <v>0</v>
      </c>
      <c r="AN177" s="3">
        <v>10</v>
      </c>
      <c r="AO177" s="3">
        <v>6</v>
      </c>
      <c r="AP177" s="3">
        <v>0</v>
      </c>
      <c r="AR177" s="2" t="s">
        <v>223</v>
      </c>
    </row>
    <row r="178" spans="1:44" ht="12.75" customHeight="1">
      <c r="A178" s="4">
        <f>DATE(57,4,16)</f>
        <v>20926</v>
      </c>
      <c r="B178" s="2" t="s">
        <v>152</v>
      </c>
      <c r="C178" s="2" t="s">
        <v>174</v>
      </c>
      <c r="E178" s="18">
        <v>1</v>
      </c>
      <c r="F178" s="18">
        <v>5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T178" s="3">
        <v>6</v>
      </c>
      <c r="U178" s="3">
        <v>5</v>
      </c>
      <c r="V178" s="3">
        <v>0</v>
      </c>
      <c r="X178" s="2" t="s">
        <v>674</v>
      </c>
      <c r="Y178" s="18">
        <v>0</v>
      </c>
      <c r="Z178" s="18">
        <v>3</v>
      </c>
      <c r="AA178" s="18">
        <v>0</v>
      </c>
      <c r="AB178" s="18">
        <v>0</v>
      </c>
      <c r="AC178" s="18">
        <v>0</v>
      </c>
      <c r="AD178" s="18">
        <v>2</v>
      </c>
      <c r="AE178" s="18">
        <v>0</v>
      </c>
      <c r="AN178" s="3">
        <v>5</v>
      </c>
      <c r="AO178" s="3">
        <v>7</v>
      </c>
      <c r="AP178" s="3">
        <v>4</v>
      </c>
      <c r="AR178" s="2" t="s">
        <v>226</v>
      </c>
    </row>
    <row r="179" spans="1:44" ht="12.75" customHeight="1">
      <c r="A179" s="4">
        <f>DATE(58,4,15)</f>
        <v>21290</v>
      </c>
      <c r="C179" s="2" t="s">
        <v>174</v>
      </c>
      <c r="E179" s="18">
        <v>0</v>
      </c>
      <c r="F179" s="18">
        <v>1</v>
      </c>
      <c r="G179" s="18">
        <v>0</v>
      </c>
      <c r="H179" s="18">
        <v>0</v>
      </c>
      <c r="I179" s="18">
        <v>5</v>
      </c>
      <c r="J179" s="18">
        <v>0</v>
      </c>
      <c r="K179" s="18">
        <v>1</v>
      </c>
      <c r="T179" s="3">
        <v>7</v>
      </c>
      <c r="U179" s="3">
        <v>10</v>
      </c>
      <c r="V179" s="3">
        <v>5</v>
      </c>
      <c r="X179" s="2" t="s">
        <v>698</v>
      </c>
      <c r="Y179" s="18">
        <v>0</v>
      </c>
      <c r="Z179" s="18">
        <v>0</v>
      </c>
      <c r="AA179" s="18">
        <v>2</v>
      </c>
      <c r="AB179" s="18">
        <v>10</v>
      </c>
      <c r="AC179" s="18">
        <v>0</v>
      </c>
      <c r="AD179" s="18">
        <v>0</v>
      </c>
      <c r="AE179" s="18">
        <v>1</v>
      </c>
      <c r="AN179" s="3">
        <v>13</v>
      </c>
      <c r="AO179" s="3">
        <v>11</v>
      </c>
      <c r="AP179" s="3">
        <v>1</v>
      </c>
      <c r="AR179" s="2" t="s">
        <v>699</v>
      </c>
    </row>
    <row r="180" spans="1:44" ht="12.75" customHeight="1">
      <c r="A180" s="4">
        <f>DATE(59,4,14)</f>
        <v>21654</v>
      </c>
      <c r="B180" s="2" t="s">
        <v>152</v>
      </c>
      <c r="C180" s="2" t="s">
        <v>174</v>
      </c>
      <c r="E180" s="18">
        <v>0</v>
      </c>
      <c r="F180" s="18">
        <v>1</v>
      </c>
      <c r="G180" s="18">
        <v>1</v>
      </c>
      <c r="H180" s="18">
        <v>0</v>
      </c>
      <c r="I180" s="18">
        <v>0</v>
      </c>
      <c r="J180" s="18">
        <v>0</v>
      </c>
      <c r="K180" s="18">
        <v>0</v>
      </c>
      <c r="T180" s="3">
        <v>2</v>
      </c>
      <c r="U180" s="3">
        <v>5</v>
      </c>
      <c r="V180" s="3">
        <v>6</v>
      </c>
      <c r="X180" s="2" t="s">
        <v>711</v>
      </c>
      <c r="Y180" s="18">
        <v>4</v>
      </c>
      <c r="Z180" s="18">
        <v>0</v>
      </c>
      <c r="AA180" s="18">
        <v>2</v>
      </c>
      <c r="AB180" s="18">
        <v>3</v>
      </c>
      <c r="AC180" s="18">
        <v>0</v>
      </c>
      <c r="AD180" s="18">
        <v>0</v>
      </c>
      <c r="AE180" s="18" t="s">
        <v>162</v>
      </c>
      <c r="AN180" s="3">
        <v>9</v>
      </c>
      <c r="AO180" s="3">
        <v>8</v>
      </c>
      <c r="AP180" s="3">
        <v>1</v>
      </c>
      <c r="AR180" s="2" t="s">
        <v>712</v>
      </c>
    </row>
    <row r="181" spans="1:44" ht="12.75" customHeight="1">
      <c r="A181" s="4">
        <f>DATE(59,4,17)</f>
        <v>21657</v>
      </c>
      <c r="C181" s="2" t="s">
        <v>174</v>
      </c>
      <c r="E181" s="18">
        <v>2</v>
      </c>
      <c r="F181" s="18">
        <v>0</v>
      </c>
      <c r="G181" s="18">
        <v>1</v>
      </c>
      <c r="H181" s="18">
        <v>0</v>
      </c>
      <c r="I181" s="18">
        <v>0</v>
      </c>
      <c r="J181" s="18">
        <v>0</v>
      </c>
      <c r="K181" s="18" t="s">
        <v>162</v>
      </c>
      <c r="T181" s="3">
        <v>3</v>
      </c>
      <c r="U181" s="3">
        <v>3</v>
      </c>
      <c r="V181" s="3">
        <v>2</v>
      </c>
      <c r="X181" s="2" t="s">
        <v>713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N181" s="3">
        <v>0</v>
      </c>
      <c r="AO181" s="3">
        <v>5</v>
      </c>
      <c r="AP181" s="3">
        <v>4</v>
      </c>
      <c r="AR181" s="2" t="s">
        <v>714</v>
      </c>
    </row>
    <row r="182" spans="1:44" ht="12.75" customHeight="1">
      <c r="A182" s="4">
        <f>DATE(60,4,22)</f>
        <v>22028</v>
      </c>
      <c r="B182" s="2" t="s">
        <v>152</v>
      </c>
      <c r="C182" s="2" t="s">
        <v>174</v>
      </c>
      <c r="E182" s="18">
        <v>0</v>
      </c>
      <c r="F182" s="18">
        <v>5</v>
      </c>
      <c r="G182" s="18">
        <v>0</v>
      </c>
      <c r="H182" s="18">
        <v>0</v>
      </c>
      <c r="I182" s="18">
        <v>0</v>
      </c>
      <c r="J182" s="18">
        <v>0</v>
      </c>
      <c r="K182" s="18">
        <v>2</v>
      </c>
      <c r="T182" s="3">
        <v>7</v>
      </c>
      <c r="U182" s="3">
        <v>6</v>
      </c>
      <c r="V182" s="3">
        <v>4</v>
      </c>
      <c r="X182" s="2" t="s">
        <v>729</v>
      </c>
      <c r="Y182" s="18">
        <v>0</v>
      </c>
      <c r="Z182" s="18">
        <v>0</v>
      </c>
      <c r="AA182" s="18">
        <v>4</v>
      </c>
      <c r="AB182" s="18">
        <v>0</v>
      </c>
      <c r="AC182" s="18">
        <v>0</v>
      </c>
      <c r="AD182" s="18">
        <v>0</v>
      </c>
      <c r="AE182" s="18">
        <v>0</v>
      </c>
      <c r="AN182" s="3">
        <v>4</v>
      </c>
      <c r="AO182" s="3">
        <v>7</v>
      </c>
      <c r="AP182" s="3">
        <v>5</v>
      </c>
      <c r="AR182" s="2" t="s">
        <v>712</v>
      </c>
    </row>
    <row r="183" spans="1:44" ht="12.75" customHeight="1">
      <c r="A183" s="4">
        <f>DATE(61,4,19)</f>
        <v>22390</v>
      </c>
      <c r="C183" s="2" t="s">
        <v>174</v>
      </c>
      <c r="E183" s="18">
        <v>2</v>
      </c>
      <c r="F183" s="18">
        <v>0</v>
      </c>
      <c r="G183" s="18">
        <v>1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T183" s="3">
        <v>3</v>
      </c>
      <c r="U183" s="3">
        <v>5</v>
      </c>
      <c r="V183" s="3">
        <v>5</v>
      </c>
      <c r="X183" s="2" t="s">
        <v>743</v>
      </c>
      <c r="Y183" s="18">
        <v>0</v>
      </c>
      <c r="Z183" s="18">
        <v>0</v>
      </c>
      <c r="AA183" s="18">
        <v>1</v>
      </c>
      <c r="AB183" s="18">
        <v>1</v>
      </c>
      <c r="AC183" s="18">
        <v>0</v>
      </c>
      <c r="AD183" s="18">
        <v>1</v>
      </c>
      <c r="AE183" s="18">
        <v>0</v>
      </c>
      <c r="AF183" s="18">
        <v>0</v>
      </c>
      <c r="AN183" s="3">
        <v>3</v>
      </c>
      <c r="AO183" s="3">
        <v>5</v>
      </c>
      <c r="AP183" s="3">
        <v>4</v>
      </c>
      <c r="AR183" s="2" t="s">
        <v>744</v>
      </c>
    </row>
    <row r="184" spans="1:44" ht="12.75" customHeight="1">
      <c r="A184" s="4">
        <f>DATE(66,5,26)</f>
        <v>24253</v>
      </c>
      <c r="B184" s="2" t="s">
        <v>239</v>
      </c>
      <c r="C184" s="2" t="s">
        <v>174</v>
      </c>
      <c r="D184" s="2" t="s">
        <v>243</v>
      </c>
      <c r="E184" s="18">
        <v>6</v>
      </c>
      <c r="F184" s="18">
        <v>1</v>
      </c>
      <c r="G184" s="18">
        <v>3</v>
      </c>
      <c r="H184" s="18">
        <v>6</v>
      </c>
      <c r="I184" s="18">
        <v>1</v>
      </c>
      <c r="J184" s="18">
        <v>0</v>
      </c>
      <c r="K184" s="18" t="s">
        <v>162</v>
      </c>
      <c r="T184" s="3">
        <v>17</v>
      </c>
      <c r="U184" s="3">
        <v>11</v>
      </c>
      <c r="V184" s="3">
        <v>1</v>
      </c>
      <c r="X184" s="2" t="s">
        <v>875</v>
      </c>
      <c r="Y184" s="18">
        <v>3</v>
      </c>
      <c r="Z184" s="18">
        <v>0</v>
      </c>
      <c r="AA184" s="18">
        <v>0</v>
      </c>
      <c r="AB184" s="18">
        <v>2</v>
      </c>
      <c r="AC184" s="18">
        <v>3</v>
      </c>
      <c r="AD184" s="18">
        <v>0</v>
      </c>
      <c r="AN184" s="3">
        <v>8</v>
      </c>
      <c r="AO184" s="3">
        <v>7</v>
      </c>
      <c r="AP184" s="3">
        <v>6</v>
      </c>
      <c r="AR184" s="2" t="s">
        <v>876</v>
      </c>
    </row>
    <row r="185" spans="1:44" ht="12.75" customHeight="1">
      <c r="A185" s="4">
        <f>DATE(67,5,30)</f>
        <v>24622</v>
      </c>
      <c r="C185" s="2" t="s">
        <v>174</v>
      </c>
      <c r="D185" s="2" t="s">
        <v>243</v>
      </c>
      <c r="E185" s="18">
        <v>0</v>
      </c>
      <c r="F185" s="18">
        <v>2</v>
      </c>
      <c r="G185" s="18">
        <v>0</v>
      </c>
      <c r="H185" s="18">
        <v>2</v>
      </c>
      <c r="I185" s="18">
        <v>0</v>
      </c>
      <c r="J185" s="18">
        <v>1</v>
      </c>
      <c r="K185" s="18">
        <v>0</v>
      </c>
      <c r="T185" s="3">
        <v>5</v>
      </c>
      <c r="U185" s="3">
        <v>7</v>
      </c>
      <c r="V185" s="3">
        <v>2</v>
      </c>
      <c r="X185" s="2" t="s">
        <v>879</v>
      </c>
      <c r="Y185" s="18">
        <v>0</v>
      </c>
      <c r="Z185" s="18">
        <v>2</v>
      </c>
      <c r="AA185" s="18">
        <v>1</v>
      </c>
      <c r="AB185" s="18">
        <v>0</v>
      </c>
      <c r="AC185" s="18">
        <v>0</v>
      </c>
      <c r="AD185" s="18">
        <v>0</v>
      </c>
      <c r="AE185" s="18">
        <v>1</v>
      </c>
      <c r="AN185" s="3">
        <v>4</v>
      </c>
      <c r="AO185" s="3">
        <v>7</v>
      </c>
      <c r="AP185" s="3">
        <v>3</v>
      </c>
      <c r="AR185" s="2" t="s">
        <v>889</v>
      </c>
    </row>
    <row r="186" spans="1:44" ht="12.75" customHeight="1">
      <c r="A186" s="4">
        <f>DATE(72,4,14)</f>
        <v>26403</v>
      </c>
      <c r="C186" s="2" t="s">
        <v>174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T186" s="3">
        <v>0</v>
      </c>
      <c r="U186" s="3">
        <v>6</v>
      </c>
      <c r="V186" s="3">
        <v>7</v>
      </c>
      <c r="X186" s="2" t="s">
        <v>941</v>
      </c>
      <c r="Y186" s="18">
        <v>0</v>
      </c>
      <c r="Z186" s="18">
        <v>0</v>
      </c>
      <c r="AA186" s="18">
        <v>0</v>
      </c>
      <c r="AB186" s="18">
        <v>5</v>
      </c>
      <c r="AC186" s="18">
        <v>0</v>
      </c>
      <c r="AD186" s="18">
        <v>2</v>
      </c>
      <c r="AE186" s="18">
        <v>0</v>
      </c>
      <c r="AN186" s="3">
        <v>7</v>
      </c>
      <c r="AO186" s="3">
        <v>4</v>
      </c>
      <c r="AP186" s="3">
        <v>0</v>
      </c>
      <c r="AR186" s="2" t="s">
        <v>970</v>
      </c>
    </row>
    <row r="187" spans="1:44" ht="12.75" customHeight="1">
      <c r="A187" s="4">
        <f>DATE(72,5,11)</f>
        <v>26430</v>
      </c>
      <c r="B187" s="2" t="s">
        <v>152</v>
      </c>
      <c r="C187" s="2" t="s">
        <v>174</v>
      </c>
      <c r="E187" s="18">
        <v>1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3</v>
      </c>
      <c r="T187" s="3">
        <v>4</v>
      </c>
      <c r="U187" s="3">
        <v>11</v>
      </c>
      <c r="V187" s="3">
        <v>1</v>
      </c>
      <c r="X187" s="2" t="s">
        <v>981</v>
      </c>
      <c r="Y187" s="18">
        <v>2</v>
      </c>
      <c r="Z187" s="18">
        <v>3</v>
      </c>
      <c r="AA187" s="18">
        <v>4</v>
      </c>
      <c r="AB187" s="18">
        <v>1</v>
      </c>
      <c r="AC187" s="18">
        <v>0</v>
      </c>
      <c r="AD187" s="18">
        <v>2</v>
      </c>
      <c r="AE187" s="18" t="s">
        <v>162</v>
      </c>
      <c r="AN187" s="3">
        <v>12</v>
      </c>
      <c r="AO187" s="3">
        <v>12</v>
      </c>
      <c r="AP187" s="3">
        <v>2</v>
      </c>
      <c r="AR187" s="2" t="s">
        <v>970</v>
      </c>
    </row>
    <row r="188" spans="1:44" ht="12.75" customHeight="1">
      <c r="A188" s="4">
        <f>DATE(73,4,17)</f>
        <v>26771</v>
      </c>
      <c r="C188" s="2" t="s">
        <v>174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T188" s="3">
        <v>0</v>
      </c>
      <c r="U188" s="3">
        <v>2</v>
      </c>
      <c r="V188" s="3">
        <v>1</v>
      </c>
      <c r="X188" s="2" t="s">
        <v>996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N188" s="3">
        <v>0</v>
      </c>
      <c r="AO188" s="3">
        <v>2</v>
      </c>
      <c r="AP188" s="3">
        <v>1</v>
      </c>
      <c r="AR188" s="2" t="s">
        <v>970</v>
      </c>
    </row>
    <row r="189" spans="1:44" ht="12.75" customHeight="1">
      <c r="A189" s="4">
        <f>DATE(73,4,18)</f>
        <v>26772</v>
      </c>
      <c r="C189" s="2" t="s">
        <v>174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T189" s="3">
        <v>0</v>
      </c>
      <c r="U189" s="3">
        <v>1</v>
      </c>
      <c r="V189" s="3">
        <v>2</v>
      </c>
      <c r="X189" s="2" t="s">
        <v>997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1</v>
      </c>
      <c r="AE189" s="18">
        <v>0</v>
      </c>
      <c r="AN189" s="3">
        <v>1</v>
      </c>
      <c r="AO189" s="3">
        <v>6</v>
      </c>
      <c r="AP189" s="3">
        <v>1</v>
      </c>
      <c r="AR189" s="2" t="s">
        <v>998</v>
      </c>
    </row>
    <row r="190" spans="1:44" ht="12.75" customHeight="1">
      <c r="A190" s="4">
        <f>DATE(73,5,16)</f>
        <v>26800</v>
      </c>
      <c r="B190" s="2" t="s">
        <v>152</v>
      </c>
      <c r="C190" s="2" t="s">
        <v>174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1</v>
      </c>
      <c r="T190" s="3">
        <v>1</v>
      </c>
      <c r="U190" s="3">
        <v>7</v>
      </c>
      <c r="V190" s="3">
        <v>9</v>
      </c>
      <c r="X190" s="2" t="s">
        <v>1009</v>
      </c>
      <c r="Y190" s="18">
        <v>0</v>
      </c>
      <c r="Z190" s="18">
        <v>3</v>
      </c>
      <c r="AA190" s="18">
        <v>5</v>
      </c>
      <c r="AB190" s="18">
        <v>0</v>
      </c>
      <c r="AC190" s="18">
        <v>4</v>
      </c>
      <c r="AD190" s="18">
        <v>7</v>
      </c>
      <c r="AE190" s="18" t="s">
        <v>162</v>
      </c>
      <c r="AN190" s="3">
        <v>19</v>
      </c>
      <c r="AO190" s="3">
        <v>9</v>
      </c>
      <c r="AP190" s="3">
        <v>0</v>
      </c>
      <c r="AR190" s="2" t="s">
        <v>998</v>
      </c>
    </row>
    <row r="191" spans="1:44" ht="12.75" customHeight="1">
      <c r="A191" s="4">
        <f>DATE(74,4,18)</f>
        <v>27137</v>
      </c>
      <c r="C191" s="2" t="s">
        <v>174</v>
      </c>
      <c r="E191" s="18">
        <v>3</v>
      </c>
      <c r="F191" s="18">
        <v>3</v>
      </c>
      <c r="G191" s="18">
        <v>0</v>
      </c>
      <c r="H191" s="18">
        <v>2</v>
      </c>
      <c r="I191" s="18">
        <v>2</v>
      </c>
      <c r="J191" s="18">
        <v>0</v>
      </c>
      <c r="K191" s="18" t="s">
        <v>162</v>
      </c>
      <c r="T191" s="3">
        <v>10</v>
      </c>
      <c r="U191" s="3">
        <v>14</v>
      </c>
      <c r="V191" s="3">
        <v>1</v>
      </c>
      <c r="X191" s="2" t="s">
        <v>996</v>
      </c>
      <c r="Y191" s="18">
        <v>0</v>
      </c>
      <c r="Z191" s="18">
        <v>0</v>
      </c>
      <c r="AA191" s="18">
        <v>1</v>
      </c>
      <c r="AB191" s="18">
        <v>0</v>
      </c>
      <c r="AC191" s="18">
        <v>0</v>
      </c>
      <c r="AD191" s="18">
        <v>0</v>
      </c>
      <c r="AE191" s="18">
        <v>0</v>
      </c>
      <c r="AN191" s="3">
        <v>1</v>
      </c>
      <c r="AO191" s="3">
        <v>2</v>
      </c>
      <c r="AP191" s="3">
        <v>2</v>
      </c>
      <c r="AR191" s="2" t="s">
        <v>1023</v>
      </c>
    </row>
    <row r="192" spans="1:44" ht="12.75" customHeight="1">
      <c r="A192" s="4">
        <f>DATE(74,5,14)</f>
        <v>27163</v>
      </c>
      <c r="B192" s="2" t="s">
        <v>152</v>
      </c>
      <c r="C192" s="2" t="s">
        <v>174</v>
      </c>
      <c r="E192" s="18">
        <v>1</v>
      </c>
      <c r="F192" s="18">
        <v>0</v>
      </c>
      <c r="G192" s="18">
        <v>0</v>
      </c>
      <c r="H192" s="18">
        <v>0</v>
      </c>
      <c r="I192" s="18">
        <v>0</v>
      </c>
      <c r="J192" s="18">
        <v>1</v>
      </c>
      <c r="K192" s="18">
        <v>1</v>
      </c>
      <c r="L192" s="18">
        <v>0</v>
      </c>
      <c r="M192" s="18">
        <v>0</v>
      </c>
      <c r="T192" s="3">
        <v>3</v>
      </c>
      <c r="U192" s="3">
        <v>11</v>
      </c>
      <c r="V192" s="3">
        <v>2</v>
      </c>
      <c r="X192" s="2" t="s">
        <v>1034</v>
      </c>
      <c r="Y192" s="18">
        <v>2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1</v>
      </c>
      <c r="AF192" s="18">
        <v>0</v>
      </c>
      <c r="AG192" s="18">
        <v>1</v>
      </c>
      <c r="AN192" s="3">
        <v>4</v>
      </c>
      <c r="AO192" s="3">
        <v>7</v>
      </c>
      <c r="AP192" s="3">
        <v>4</v>
      </c>
      <c r="AR192" s="2" t="s">
        <v>1035</v>
      </c>
    </row>
    <row r="193" spans="1:44" ht="12.75" customHeight="1">
      <c r="A193" s="4">
        <f>DATE(75,4,22)</f>
        <v>27506</v>
      </c>
      <c r="C193" s="2" t="s">
        <v>174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T193" s="3">
        <v>0</v>
      </c>
      <c r="U193" s="3">
        <v>3</v>
      </c>
      <c r="V193" s="3">
        <v>4</v>
      </c>
      <c r="X193" s="2" t="s">
        <v>1047</v>
      </c>
      <c r="Y193" s="18">
        <v>1</v>
      </c>
      <c r="Z193" s="18">
        <v>0</v>
      </c>
      <c r="AA193" s="18">
        <v>3</v>
      </c>
      <c r="AB193" s="18">
        <v>2</v>
      </c>
      <c r="AC193" s="18">
        <v>0</v>
      </c>
      <c r="AD193" s="18">
        <v>0</v>
      </c>
      <c r="AE193" s="18">
        <v>0</v>
      </c>
      <c r="AN193" s="3">
        <v>6</v>
      </c>
      <c r="AO193" s="3">
        <v>10</v>
      </c>
      <c r="AP193" s="3">
        <v>4</v>
      </c>
      <c r="AR193" s="2" t="s">
        <v>1048</v>
      </c>
    </row>
    <row r="194" spans="1:44" ht="12.75" customHeight="1">
      <c r="A194" s="4">
        <f>DATE(75,5,19)</f>
        <v>27533</v>
      </c>
      <c r="B194" s="2" t="s">
        <v>152</v>
      </c>
      <c r="C194" s="2" t="s">
        <v>174</v>
      </c>
      <c r="E194" s="18">
        <v>0</v>
      </c>
      <c r="F194" s="18">
        <v>1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T194" s="3">
        <v>1</v>
      </c>
      <c r="U194" s="3">
        <v>4</v>
      </c>
      <c r="V194" s="3">
        <v>2</v>
      </c>
      <c r="X194" s="2" t="s">
        <v>1058</v>
      </c>
      <c r="Y194" s="18">
        <v>0</v>
      </c>
      <c r="Z194" s="18">
        <v>0</v>
      </c>
      <c r="AA194" s="18">
        <v>0</v>
      </c>
      <c r="AB194" s="18">
        <v>0</v>
      </c>
      <c r="AC194" s="18">
        <v>3</v>
      </c>
      <c r="AD194" s="18">
        <v>1</v>
      </c>
      <c r="AE194" s="18" t="s">
        <v>162</v>
      </c>
      <c r="AN194" s="3">
        <v>4</v>
      </c>
      <c r="AO194" s="3">
        <v>4</v>
      </c>
      <c r="AP194" s="3">
        <v>1</v>
      </c>
      <c r="AR194" s="2" t="s">
        <v>1048</v>
      </c>
    </row>
    <row r="195" spans="1:44" ht="12.75" customHeight="1">
      <c r="A195" s="4">
        <f>DATE(76,4,22)</f>
        <v>27872</v>
      </c>
      <c r="C195" s="2" t="s">
        <v>174</v>
      </c>
      <c r="E195" s="18">
        <v>2</v>
      </c>
      <c r="F195" s="18">
        <v>3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1</v>
      </c>
      <c r="T195" s="3">
        <v>6</v>
      </c>
      <c r="U195" s="3">
        <v>10</v>
      </c>
      <c r="V195" s="3">
        <v>3</v>
      </c>
      <c r="X195" s="2" t="s">
        <v>1078</v>
      </c>
      <c r="Y195" s="18">
        <v>2</v>
      </c>
      <c r="Z195" s="18">
        <v>0</v>
      </c>
      <c r="AA195" s="18">
        <v>1</v>
      </c>
      <c r="AB195" s="18">
        <v>0</v>
      </c>
      <c r="AC195" s="18">
        <v>2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N195" s="3">
        <v>5</v>
      </c>
      <c r="AO195" s="3">
        <v>8</v>
      </c>
      <c r="AP195" s="3">
        <v>4</v>
      </c>
      <c r="AR195" s="2" t="s">
        <v>1079</v>
      </c>
    </row>
    <row r="196" spans="1:44" ht="12.75" customHeight="1">
      <c r="A196" s="4">
        <f>DATE(76,5,21)</f>
        <v>27901</v>
      </c>
      <c r="B196" s="2" t="s">
        <v>152</v>
      </c>
      <c r="C196" s="2" t="s">
        <v>174</v>
      </c>
      <c r="E196" s="18">
        <v>0</v>
      </c>
      <c r="F196" s="18">
        <v>0</v>
      </c>
      <c r="G196" s="18">
        <v>0</v>
      </c>
      <c r="H196" s="18">
        <v>2</v>
      </c>
      <c r="I196" s="18">
        <v>1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2</v>
      </c>
      <c r="T196" s="3">
        <v>5</v>
      </c>
      <c r="U196" s="3">
        <v>7</v>
      </c>
      <c r="V196" s="3">
        <v>7</v>
      </c>
      <c r="X196" s="2" t="s">
        <v>1096</v>
      </c>
      <c r="Y196" s="18">
        <v>1</v>
      </c>
      <c r="Z196" s="18">
        <v>0</v>
      </c>
      <c r="AA196" s="18">
        <v>0</v>
      </c>
      <c r="AB196" s="18">
        <v>0</v>
      </c>
      <c r="AC196" s="18">
        <v>1</v>
      </c>
      <c r="AD196" s="18">
        <v>1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N196" s="3">
        <v>3</v>
      </c>
      <c r="AO196" s="3">
        <v>10</v>
      </c>
      <c r="AP196" s="3">
        <v>2</v>
      </c>
      <c r="AR196" s="2" t="s">
        <v>1097</v>
      </c>
    </row>
    <row r="197" spans="1:44" ht="12.75" customHeight="1">
      <c r="A197" s="4">
        <f>DATE(76,5,28)</f>
        <v>27908</v>
      </c>
      <c r="B197" s="2" t="s">
        <v>239</v>
      </c>
      <c r="C197" s="2" t="s">
        <v>174</v>
      </c>
      <c r="D197" s="2" t="s">
        <v>257</v>
      </c>
      <c r="E197" s="18">
        <v>0</v>
      </c>
      <c r="F197" s="18">
        <v>3</v>
      </c>
      <c r="G197" s="18">
        <v>1</v>
      </c>
      <c r="H197" s="18">
        <v>2</v>
      </c>
      <c r="I197" s="18">
        <v>2</v>
      </c>
      <c r="J197" s="18">
        <v>0</v>
      </c>
      <c r="K197" s="18">
        <v>0</v>
      </c>
      <c r="T197" s="3">
        <v>8</v>
      </c>
      <c r="U197" s="3">
        <v>13</v>
      </c>
      <c r="V197" s="3">
        <v>1</v>
      </c>
      <c r="X197" s="2" t="s">
        <v>1064</v>
      </c>
      <c r="Y197" s="18">
        <v>0</v>
      </c>
      <c r="Z197" s="18">
        <v>0</v>
      </c>
      <c r="AA197" s="18">
        <v>0</v>
      </c>
      <c r="AB197" s="18">
        <v>1</v>
      </c>
      <c r="AC197" s="18">
        <v>0</v>
      </c>
      <c r="AD197" s="18">
        <v>0</v>
      </c>
      <c r="AE197" s="18">
        <v>0</v>
      </c>
      <c r="AN197" s="3">
        <v>1</v>
      </c>
      <c r="AO197" s="3">
        <v>6</v>
      </c>
      <c r="AP197" s="3">
        <v>5</v>
      </c>
      <c r="AR197" s="2" t="s">
        <v>1098</v>
      </c>
    </row>
    <row r="198" spans="1:44" ht="12.75" customHeight="1">
      <c r="A198" s="4">
        <f>DATE(77,4,26)</f>
        <v>28241</v>
      </c>
      <c r="C198" s="2" t="s">
        <v>174</v>
      </c>
      <c r="E198" s="18">
        <v>0</v>
      </c>
      <c r="F198" s="18">
        <v>1</v>
      </c>
      <c r="G198" s="18">
        <v>0</v>
      </c>
      <c r="H198" s="18">
        <v>0</v>
      </c>
      <c r="I198" s="18">
        <v>0</v>
      </c>
      <c r="J198" s="18">
        <v>1</v>
      </c>
      <c r="K198" s="18">
        <v>0</v>
      </c>
      <c r="T198" s="3">
        <v>2</v>
      </c>
      <c r="U198" s="3">
        <v>5</v>
      </c>
      <c r="V198" s="3">
        <v>2</v>
      </c>
      <c r="X198" s="2" t="s">
        <v>1064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5</v>
      </c>
      <c r="AE198" s="18">
        <v>0</v>
      </c>
      <c r="AN198" s="3">
        <v>5</v>
      </c>
      <c r="AO198" s="3">
        <v>9</v>
      </c>
      <c r="AP198" s="3">
        <v>1</v>
      </c>
      <c r="AR198" s="2" t="s">
        <v>1124</v>
      </c>
    </row>
    <row r="199" spans="1:44" ht="12.75" customHeight="1">
      <c r="A199" s="4">
        <f>DATE(77,5,19)</f>
        <v>28264</v>
      </c>
      <c r="B199" s="2" t="s">
        <v>152</v>
      </c>
      <c r="C199" s="2" t="s">
        <v>174</v>
      </c>
      <c r="E199" s="18">
        <v>0</v>
      </c>
      <c r="F199" s="18">
        <v>0</v>
      </c>
      <c r="G199" s="18">
        <v>0</v>
      </c>
      <c r="H199" s="18">
        <v>1</v>
      </c>
      <c r="I199" s="18">
        <v>1</v>
      </c>
      <c r="J199" s="18">
        <v>0</v>
      </c>
      <c r="K199" s="18">
        <v>1</v>
      </c>
      <c r="T199" s="3">
        <v>3</v>
      </c>
      <c r="U199" s="3">
        <v>4</v>
      </c>
      <c r="V199" s="3">
        <v>3</v>
      </c>
      <c r="X199" s="2" t="s">
        <v>1127</v>
      </c>
      <c r="Y199" s="18">
        <v>0</v>
      </c>
      <c r="Z199" s="18">
        <v>1</v>
      </c>
      <c r="AA199" s="18">
        <v>3</v>
      </c>
      <c r="AB199" s="18">
        <v>2</v>
      </c>
      <c r="AC199" s="18">
        <v>0</v>
      </c>
      <c r="AD199" s="18">
        <v>0</v>
      </c>
      <c r="AE199" s="18" t="s">
        <v>158</v>
      </c>
      <c r="AN199" s="3">
        <v>6</v>
      </c>
      <c r="AO199" s="3">
        <v>8</v>
      </c>
      <c r="AP199" s="3">
        <v>0</v>
      </c>
      <c r="AR199" s="2" t="s">
        <v>1124</v>
      </c>
    </row>
    <row r="200" spans="1:44" ht="12.75" customHeight="1">
      <c r="A200" s="4">
        <f>DATE(78,4,5)</f>
        <v>28585</v>
      </c>
      <c r="B200" s="2" t="s">
        <v>152</v>
      </c>
      <c r="C200" s="2" t="s">
        <v>174</v>
      </c>
      <c r="E200" s="18">
        <v>0</v>
      </c>
      <c r="F200" s="18">
        <v>0</v>
      </c>
      <c r="G200" s="18">
        <v>5</v>
      </c>
      <c r="H200" s="18">
        <v>0</v>
      </c>
      <c r="I200" s="18">
        <v>2</v>
      </c>
      <c r="J200" s="18">
        <v>0</v>
      </c>
      <c r="K200" s="18">
        <v>0</v>
      </c>
      <c r="T200" s="3">
        <v>7</v>
      </c>
      <c r="U200" s="3">
        <v>5</v>
      </c>
      <c r="V200" s="3">
        <v>1</v>
      </c>
      <c r="X200" s="2" t="s">
        <v>1070</v>
      </c>
      <c r="Y200" s="18">
        <v>0</v>
      </c>
      <c r="Z200" s="18">
        <v>0</v>
      </c>
      <c r="AA200" s="18">
        <v>0</v>
      </c>
      <c r="AB200" s="18">
        <v>2</v>
      </c>
      <c r="AC200" s="18">
        <v>0</v>
      </c>
      <c r="AD200" s="18">
        <v>1</v>
      </c>
      <c r="AE200" s="18">
        <v>0</v>
      </c>
      <c r="AN200" s="3">
        <v>3</v>
      </c>
      <c r="AO200" s="3">
        <v>3</v>
      </c>
      <c r="AP200" s="3">
        <v>1</v>
      </c>
      <c r="AR200" s="2" t="s">
        <v>1159</v>
      </c>
    </row>
    <row r="201" spans="1:44" ht="12.75" customHeight="1">
      <c r="A201" s="4">
        <f>DATE(78,4,27)</f>
        <v>28607</v>
      </c>
      <c r="C201" s="2" t="s">
        <v>174</v>
      </c>
      <c r="E201" s="18">
        <v>0</v>
      </c>
      <c r="F201" s="18">
        <v>0</v>
      </c>
      <c r="G201" s="18">
        <v>2</v>
      </c>
      <c r="H201" s="18">
        <v>5</v>
      </c>
      <c r="I201" s="18">
        <v>1</v>
      </c>
      <c r="J201" s="18">
        <v>3</v>
      </c>
      <c r="K201" s="18" t="s">
        <v>162</v>
      </c>
      <c r="T201" s="3">
        <v>11</v>
      </c>
      <c r="U201" s="3">
        <v>12</v>
      </c>
      <c r="V201" s="3">
        <v>2</v>
      </c>
      <c r="X201" s="2" t="s">
        <v>1070</v>
      </c>
      <c r="Y201" s="18">
        <v>2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1</v>
      </c>
      <c r="AN201" s="3">
        <v>3</v>
      </c>
      <c r="AO201" s="3">
        <v>8</v>
      </c>
      <c r="AP201" s="3">
        <v>1</v>
      </c>
      <c r="AR201" s="2" t="s">
        <v>1172</v>
      </c>
    </row>
    <row r="202" spans="1:44" ht="12.75" customHeight="1">
      <c r="A202" s="4">
        <f>DATE(79,4,16)</f>
        <v>28961</v>
      </c>
      <c r="B202" s="2" t="s">
        <v>152</v>
      </c>
      <c r="C202" s="2" t="s">
        <v>174</v>
      </c>
      <c r="E202" s="18">
        <v>0</v>
      </c>
      <c r="F202" s="18">
        <v>2</v>
      </c>
      <c r="G202" s="18">
        <v>0</v>
      </c>
      <c r="H202" s="18">
        <v>0</v>
      </c>
      <c r="I202" s="18">
        <v>0</v>
      </c>
      <c r="J202" s="18">
        <v>1</v>
      </c>
      <c r="K202" s="18">
        <v>0</v>
      </c>
      <c r="T202" s="3">
        <v>3</v>
      </c>
      <c r="U202" s="3">
        <v>6</v>
      </c>
      <c r="V202" s="3">
        <v>2</v>
      </c>
      <c r="X202" s="2" t="s">
        <v>1090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2</v>
      </c>
      <c r="AE202" s="18">
        <v>2</v>
      </c>
      <c r="AN202" s="3">
        <v>4</v>
      </c>
      <c r="AO202" s="3">
        <v>2</v>
      </c>
      <c r="AP202" s="3">
        <v>2</v>
      </c>
      <c r="AR202" s="2" t="s">
        <v>1200</v>
      </c>
    </row>
    <row r="203" spans="1:44" ht="12.75" customHeight="1">
      <c r="A203" s="4">
        <f>DATE(79,5,1)</f>
        <v>28976</v>
      </c>
      <c r="C203" s="2" t="s">
        <v>174</v>
      </c>
      <c r="E203" s="18">
        <v>2</v>
      </c>
      <c r="F203" s="18">
        <v>9</v>
      </c>
      <c r="G203" s="18">
        <v>6</v>
      </c>
      <c r="H203" s="18">
        <v>1</v>
      </c>
      <c r="I203" s="18" t="s">
        <v>162</v>
      </c>
      <c r="T203" s="3">
        <v>18</v>
      </c>
      <c r="U203" s="3">
        <v>16</v>
      </c>
      <c r="V203" s="3">
        <v>1</v>
      </c>
      <c r="X203" s="2" t="s">
        <v>1140</v>
      </c>
      <c r="Y203" s="18">
        <v>0</v>
      </c>
      <c r="Z203" s="18">
        <v>0</v>
      </c>
      <c r="AA203" s="18">
        <v>0</v>
      </c>
      <c r="AB203" s="18">
        <v>1</v>
      </c>
      <c r="AC203" s="18">
        <v>5</v>
      </c>
      <c r="AN203" s="3">
        <v>6</v>
      </c>
      <c r="AO203" s="3">
        <v>7</v>
      </c>
      <c r="AP203" s="3">
        <v>4</v>
      </c>
      <c r="AR203" s="2" t="s">
        <v>1212</v>
      </c>
    </row>
    <row r="204" spans="1:44" ht="12.75" customHeight="1">
      <c r="A204" s="4">
        <f>DATE(80,4,15)</f>
        <v>29326</v>
      </c>
      <c r="B204" s="2" t="s">
        <v>152</v>
      </c>
      <c r="C204" s="2" t="s">
        <v>174</v>
      </c>
      <c r="E204" s="18">
        <v>0</v>
      </c>
      <c r="F204" s="18">
        <v>1</v>
      </c>
      <c r="G204" s="18">
        <v>1</v>
      </c>
      <c r="H204" s="18">
        <v>4</v>
      </c>
      <c r="I204" s="18">
        <v>0</v>
      </c>
      <c r="J204" s="18">
        <v>0</v>
      </c>
      <c r="T204" s="3">
        <v>6</v>
      </c>
      <c r="U204" s="3">
        <v>5</v>
      </c>
      <c r="V204" s="3">
        <v>1</v>
      </c>
      <c r="X204" s="2" t="s">
        <v>1245</v>
      </c>
      <c r="Y204" s="18">
        <v>1</v>
      </c>
      <c r="Z204" s="18">
        <v>0</v>
      </c>
      <c r="AA204" s="18">
        <v>0</v>
      </c>
      <c r="AB204" s="18">
        <v>0</v>
      </c>
      <c r="AC204" s="18">
        <v>3</v>
      </c>
      <c r="AD204" s="18">
        <v>0</v>
      </c>
      <c r="AN204" s="3">
        <v>4</v>
      </c>
      <c r="AO204" s="3">
        <v>5</v>
      </c>
      <c r="AP204" s="3">
        <v>1</v>
      </c>
      <c r="AR204" s="2" t="s">
        <v>1250</v>
      </c>
    </row>
    <row r="205" spans="1:44" ht="12.75" customHeight="1">
      <c r="A205" s="4">
        <f>DATE(80,5,8)</f>
        <v>29349</v>
      </c>
      <c r="C205" s="2" t="s">
        <v>174</v>
      </c>
      <c r="E205" s="18">
        <v>0</v>
      </c>
      <c r="F205" s="18">
        <v>0</v>
      </c>
      <c r="G205" s="18">
        <v>3</v>
      </c>
      <c r="H205" s="18">
        <v>2</v>
      </c>
      <c r="I205" s="18">
        <v>3</v>
      </c>
      <c r="J205" s="18">
        <v>1</v>
      </c>
      <c r="K205" s="18" t="s">
        <v>162</v>
      </c>
      <c r="T205" s="3">
        <v>9</v>
      </c>
      <c r="U205" s="3">
        <v>10</v>
      </c>
      <c r="V205" s="3">
        <v>2</v>
      </c>
      <c r="X205" s="2" t="s">
        <v>1256</v>
      </c>
      <c r="Y205" s="18">
        <v>0</v>
      </c>
      <c r="Z205" s="18">
        <v>0</v>
      </c>
      <c r="AA205" s="18">
        <v>1</v>
      </c>
      <c r="AB205" s="18">
        <v>0</v>
      </c>
      <c r="AC205" s="18">
        <v>0</v>
      </c>
      <c r="AD205" s="18">
        <v>0</v>
      </c>
      <c r="AE205" s="18">
        <v>0</v>
      </c>
      <c r="AN205" s="3">
        <v>1</v>
      </c>
      <c r="AO205" s="3">
        <v>4</v>
      </c>
      <c r="AP205" s="3">
        <v>2</v>
      </c>
      <c r="AR205" s="2" t="s">
        <v>1300</v>
      </c>
    </row>
    <row r="206" spans="1:44" ht="12.75" customHeight="1">
      <c r="A206" s="4">
        <f>DATE(81,4,16)</f>
        <v>29692</v>
      </c>
      <c r="B206" s="2" t="s">
        <v>152</v>
      </c>
      <c r="C206" s="2" t="s">
        <v>174</v>
      </c>
      <c r="E206" s="18">
        <v>1</v>
      </c>
      <c r="F206" s="18">
        <v>0</v>
      </c>
      <c r="G206" s="18">
        <v>1</v>
      </c>
      <c r="H206" s="18">
        <v>0</v>
      </c>
      <c r="I206" s="18">
        <v>0</v>
      </c>
      <c r="J206" s="18">
        <v>1</v>
      </c>
      <c r="K206" s="18">
        <v>0</v>
      </c>
      <c r="T206" s="3">
        <v>3</v>
      </c>
      <c r="U206" s="3">
        <v>5</v>
      </c>
      <c r="V206" s="3">
        <v>3</v>
      </c>
      <c r="X206" s="2" t="s">
        <v>1256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N206" s="3">
        <v>0</v>
      </c>
      <c r="AO206" s="3">
        <v>3</v>
      </c>
      <c r="AP206" s="3">
        <v>2</v>
      </c>
      <c r="AR206" s="2" t="s">
        <v>1333</v>
      </c>
    </row>
    <row r="207" spans="1:44" ht="12.75" customHeight="1">
      <c r="A207" s="4">
        <f>DATE(81,5,13)</f>
        <v>29719</v>
      </c>
      <c r="C207" s="2" t="s">
        <v>174</v>
      </c>
      <c r="E207" s="18">
        <v>1</v>
      </c>
      <c r="F207" s="18">
        <v>0</v>
      </c>
      <c r="G207" s="18">
        <v>3</v>
      </c>
      <c r="H207" s="18">
        <v>6</v>
      </c>
      <c r="I207" s="18">
        <v>4</v>
      </c>
      <c r="J207" s="18">
        <v>0</v>
      </c>
      <c r="K207" s="18" t="s">
        <v>162</v>
      </c>
      <c r="T207" s="3">
        <v>14</v>
      </c>
      <c r="U207" s="3">
        <v>11</v>
      </c>
      <c r="V207" s="3">
        <v>3</v>
      </c>
      <c r="X207" s="2" t="s">
        <v>1256</v>
      </c>
      <c r="Y207" s="18">
        <v>2</v>
      </c>
      <c r="Z207" s="18">
        <v>0</v>
      </c>
      <c r="AA207" s="18">
        <v>2</v>
      </c>
      <c r="AB207" s="18">
        <v>0</v>
      </c>
      <c r="AC207" s="18">
        <v>2</v>
      </c>
      <c r="AD207" s="18">
        <v>2</v>
      </c>
      <c r="AE207" s="18">
        <v>0</v>
      </c>
      <c r="AN207" s="3">
        <v>8</v>
      </c>
      <c r="AO207" s="3">
        <v>9</v>
      </c>
      <c r="AP207" s="3">
        <v>3</v>
      </c>
      <c r="AR207" s="2" t="s">
        <v>1350</v>
      </c>
    </row>
    <row r="208" spans="1:44" ht="12.75" customHeight="1">
      <c r="A208" s="4">
        <f>DATE(82,4,20)</f>
        <v>30061</v>
      </c>
      <c r="B208" s="2" t="s">
        <v>152</v>
      </c>
      <c r="C208" s="2" t="s">
        <v>174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T208" s="3">
        <v>0</v>
      </c>
      <c r="U208" s="3">
        <v>3</v>
      </c>
      <c r="V208" s="3">
        <v>3</v>
      </c>
      <c r="X208" s="2" t="s">
        <v>1374</v>
      </c>
      <c r="Y208" s="18">
        <v>0</v>
      </c>
      <c r="Z208" s="18">
        <v>1</v>
      </c>
      <c r="AA208" s="18">
        <v>0</v>
      </c>
      <c r="AB208" s="18">
        <v>2</v>
      </c>
      <c r="AC208" s="18">
        <v>0</v>
      </c>
      <c r="AD208" s="18">
        <v>7</v>
      </c>
      <c r="AN208" s="3">
        <v>10</v>
      </c>
      <c r="AO208" s="3">
        <v>15</v>
      </c>
      <c r="AP208" s="3">
        <v>0</v>
      </c>
      <c r="AR208" s="2" t="s">
        <v>1375</v>
      </c>
    </row>
    <row r="209" spans="1:44" ht="12.75" customHeight="1">
      <c r="A209" s="4">
        <f>DATE(82,5,13)</f>
        <v>30084</v>
      </c>
      <c r="C209" s="2" t="s">
        <v>174</v>
      </c>
      <c r="E209" s="18">
        <v>2</v>
      </c>
      <c r="F209" s="18">
        <v>0</v>
      </c>
      <c r="G209" s="18">
        <v>0</v>
      </c>
      <c r="H209" s="18">
        <v>0</v>
      </c>
      <c r="I209" s="18">
        <v>0</v>
      </c>
      <c r="J209" s="18">
        <v>3</v>
      </c>
      <c r="K209" s="18">
        <v>2</v>
      </c>
      <c r="T209" s="3">
        <v>7</v>
      </c>
      <c r="U209" s="3">
        <v>8</v>
      </c>
      <c r="V209" s="3">
        <v>4</v>
      </c>
      <c r="X209" s="2" t="s">
        <v>1339</v>
      </c>
      <c r="Y209" s="18">
        <v>2</v>
      </c>
      <c r="Z209" s="18">
        <v>2</v>
      </c>
      <c r="AA209" s="18">
        <v>0</v>
      </c>
      <c r="AB209" s="18">
        <v>0</v>
      </c>
      <c r="AC209" s="18">
        <v>1</v>
      </c>
      <c r="AD209" s="18">
        <v>0</v>
      </c>
      <c r="AE209" s="18">
        <v>1</v>
      </c>
      <c r="AN209" s="3">
        <v>6</v>
      </c>
      <c r="AO209" s="3">
        <v>8</v>
      </c>
      <c r="AP209" s="3">
        <v>2</v>
      </c>
      <c r="AR209" s="2" t="s">
        <v>1389</v>
      </c>
    </row>
    <row r="210" spans="1:44" ht="12.75" customHeight="1">
      <c r="A210" s="4">
        <f>DATE(83,4,21)</f>
        <v>30427</v>
      </c>
      <c r="B210" s="2" t="s">
        <v>152</v>
      </c>
      <c r="C210" s="2" t="s">
        <v>174</v>
      </c>
      <c r="E210" s="18">
        <v>1</v>
      </c>
      <c r="F210" s="18">
        <v>1</v>
      </c>
      <c r="G210" s="18">
        <v>4</v>
      </c>
      <c r="H210" s="18">
        <v>2</v>
      </c>
      <c r="I210" s="18">
        <v>9</v>
      </c>
      <c r="J210" s="18" t="s">
        <v>311</v>
      </c>
      <c r="T210" s="3">
        <v>17</v>
      </c>
      <c r="U210" s="3">
        <v>16</v>
      </c>
      <c r="V210" s="3">
        <v>2</v>
      </c>
      <c r="X210" s="2" t="s">
        <v>1334</v>
      </c>
      <c r="Y210" s="18">
        <v>0</v>
      </c>
      <c r="Z210" s="18">
        <v>0</v>
      </c>
      <c r="AA210" s="18">
        <v>1</v>
      </c>
      <c r="AB210" s="18">
        <v>0</v>
      </c>
      <c r="AC210" s="18">
        <v>2</v>
      </c>
      <c r="AN210" s="3">
        <v>3</v>
      </c>
      <c r="AO210" s="3">
        <v>2</v>
      </c>
      <c r="AP210" s="3">
        <v>3</v>
      </c>
      <c r="AR210" s="2" t="s">
        <v>1409</v>
      </c>
    </row>
    <row r="211" spans="1:44" ht="12.75" customHeight="1">
      <c r="A211" s="4">
        <f>DATE(83,5,17)</f>
        <v>30453</v>
      </c>
      <c r="C211" s="2" t="s">
        <v>174</v>
      </c>
      <c r="E211" s="18">
        <v>0</v>
      </c>
      <c r="F211" s="18">
        <v>0</v>
      </c>
      <c r="G211" s="18">
        <v>0</v>
      </c>
      <c r="H211" s="18">
        <v>5</v>
      </c>
      <c r="I211" s="18">
        <v>0</v>
      </c>
      <c r="J211" s="18">
        <v>0</v>
      </c>
      <c r="K211" s="18" t="s">
        <v>162</v>
      </c>
      <c r="T211" s="3">
        <v>5</v>
      </c>
      <c r="U211" s="3">
        <v>3</v>
      </c>
      <c r="V211" s="3">
        <v>3</v>
      </c>
      <c r="X211" s="2" t="s">
        <v>1378</v>
      </c>
      <c r="Y211" s="18">
        <v>1</v>
      </c>
      <c r="Z211" s="18">
        <v>0</v>
      </c>
      <c r="AA211" s="18">
        <v>0</v>
      </c>
      <c r="AB211" s="18">
        <v>1</v>
      </c>
      <c r="AC211" s="18">
        <v>0</v>
      </c>
      <c r="AD211" s="18">
        <v>1</v>
      </c>
      <c r="AE211" s="18">
        <v>0</v>
      </c>
      <c r="AN211" s="3">
        <v>3</v>
      </c>
      <c r="AO211" s="3">
        <v>5</v>
      </c>
      <c r="AP211" s="3">
        <v>0</v>
      </c>
      <c r="AR211" s="2" t="s">
        <v>1438</v>
      </c>
    </row>
    <row r="212" spans="1:44" ht="12.75" customHeight="1">
      <c r="A212" s="4">
        <f>DATE(84,4,27)</f>
        <v>30799</v>
      </c>
      <c r="B212" s="2" t="s">
        <v>152</v>
      </c>
      <c r="C212" s="2" t="s">
        <v>174</v>
      </c>
      <c r="E212" s="18">
        <v>2</v>
      </c>
      <c r="F212" s="18">
        <v>3</v>
      </c>
      <c r="G212" s="18">
        <v>1</v>
      </c>
      <c r="H212" s="18">
        <v>0</v>
      </c>
      <c r="I212" s="18">
        <v>1</v>
      </c>
      <c r="J212" s="18">
        <v>5</v>
      </c>
      <c r="K212" s="18">
        <v>0</v>
      </c>
      <c r="T212" s="3">
        <v>12</v>
      </c>
      <c r="U212" s="3">
        <v>14</v>
      </c>
      <c r="V212" s="3">
        <v>3</v>
      </c>
      <c r="X212" s="2" t="s">
        <v>1378</v>
      </c>
      <c r="Y212" s="18">
        <v>1</v>
      </c>
      <c r="Z212" s="18">
        <v>1</v>
      </c>
      <c r="AA212" s="18">
        <v>0</v>
      </c>
      <c r="AB212" s="18">
        <v>0</v>
      </c>
      <c r="AC212" s="18">
        <v>2</v>
      </c>
      <c r="AD212" s="18">
        <v>0</v>
      </c>
      <c r="AE212" s="18">
        <v>3</v>
      </c>
      <c r="AN212" s="3">
        <v>7</v>
      </c>
      <c r="AO212" s="3">
        <v>7</v>
      </c>
      <c r="AP212" s="3">
        <v>5</v>
      </c>
      <c r="AR212" s="2" t="s">
        <v>318</v>
      </c>
    </row>
    <row r="213" spans="1:44" ht="12.75" customHeight="1">
      <c r="A213" s="4">
        <f>DATE(84,5,18)</f>
        <v>30820</v>
      </c>
      <c r="C213" s="2" t="s">
        <v>174</v>
      </c>
      <c r="E213" s="18">
        <v>5</v>
      </c>
      <c r="F213" s="18">
        <v>5</v>
      </c>
      <c r="G213" s="18">
        <v>2</v>
      </c>
      <c r="H213" s="18">
        <v>0</v>
      </c>
      <c r="I213" s="18" t="s">
        <v>162</v>
      </c>
      <c r="T213" s="3">
        <v>12</v>
      </c>
      <c r="U213" s="3">
        <v>9</v>
      </c>
      <c r="V213" s="3">
        <v>0</v>
      </c>
      <c r="X213" s="2" t="s">
        <v>1410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N213" s="3">
        <v>0</v>
      </c>
      <c r="AO213" s="3">
        <v>5</v>
      </c>
      <c r="AP213" s="3">
        <v>3</v>
      </c>
      <c r="AR213" s="2" t="s">
        <v>1471</v>
      </c>
    </row>
    <row r="214" spans="1:44" ht="12.75" customHeight="1">
      <c r="A214" s="4">
        <f>DATE(85,4,10)</f>
        <v>31147</v>
      </c>
      <c r="C214" s="2" t="s">
        <v>174</v>
      </c>
      <c r="E214" s="18">
        <v>4</v>
      </c>
      <c r="F214" s="18">
        <v>0</v>
      </c>
      <c r="G214" s="18">
        <v>0</v>
      </c>
      <c r="H214" s="18">
        <v>2</v>
      </c>
      <c r="I214" s="18">
        <v>0</v>
      </c>
      <c r="J214" s="18">
        <v>0</v>
      </c>
      <c r="T214" s="3">
        <v>6</v>
      </c>
      <c r="U214" s="3">
        <v>5</v>
      </c>
      <c r="V214" s="3">
        <v>3</v>
      </c>
      <c r="X214" s="2" t="s">
        <v>1478</v>
      </c>
      <c r="Y214" s="18">
        <v>1</v>
      </c>
      <c r="Z214" s="18">
        <v>0</v>
      </c>
      <c r="AA214" s="18">
        <v>0</v>
      </c>
      <c r="AB214" s="18">
        <v>6</v>
      </c>
      <c r="AC214" s="18">
        <v>2</v>
      </c>
      <c r="AD214" s="18">
        <v>0</v>
      </c>
      <c r="AN214" s="3">
        <v>9</v>
      </c>
      <c r="AO214" s="3">
        <v>11</v>
      </c>
      <c r="AP214" s="3">
        <v>0</v>
      </c>
      <c r="AR214" s="2" t="s">
        <v>1479</v>
      </c>
    </row>
    <row r="215" spans="1:44" ht="12.75" customHeight="1">
      <c r="A215" s="4">
        <f>DATE(85,4,30)</f>
        <v>31167</v>
      </c>
      <c r="B215" s="2" t="s">
        <v>152</v>
      </c>
      <c r="C215" s="2" t="s">
        <v>174</v>
      </c>
      <c r="E215" s="18">
        <v>2</v>
      </c>
      <c r="F215" s="18">
        <v>0</v>
      </c>
      <c r="G215" s="18">
        <v>0</v>
      </c>
      <c r="H215" s="18">
        <v>6</v>
      </c>
      <c r="I215" s="18">
        <v>0</v>
      </c>
      <c r="J215" s="18">
        <v>1</v>
      </c>
      <c r="K215" s="18">
        <v>0</v>
      </c>
      <c r="T215" s="3">
        <v>9</v>
      </c>
      <c r="U215" s="3">
        <v>10</v>
      </c>
      <c r="V215" s="3">
        <v>3</v>
      </c>
      <c r="X215" s="2" t="s">
        <v>1502</v>
      </c>
      <c r="Y215" s="18">
        <v>2</v>
      </c>
      <c r="Z215" s="18">
        <v>1</v>
      </c>
      <c r="AA215" s="18">
        <v>1</v>
      </c>
      <c r="AB215" s="18">
        <v>0</v>
      </c>
      <c r="AC215" s="18">
        <v>0</v>
      </c>
      <c r="AD215" s="18">
        <v>7</v>
      </c>
      <c r="AE215" s="18" t="s">
        <v>162</v>
      </c>
      <c r="AN215" s="3">
        <v>11</v>
      </c>
      <c r="AO215" s="3">
        <v>12</v>
      </c>
      <c r="AP215" s="3">
        <v>1</v>
      </c>
      <c r="AR215" s="2" t="s">
        <v>1503</v>
      </c>
    </row>
    <row r="216" spans="1:44" ht="12.75" customHeight="1">
      <c r="A216" s="4">
        <f>DATE(86,4,3)</f>
        <v>31505</v>
      </c>
      <c r="C216" s="2" t="s">
        <v>174</v>
      </c>
      <c r="E216" s="18">
        <v>3</v>
      </c>
      <c r="F216" s="18">
        <v>0</v>
      </c>
      <c r="G216" s="18">
        <v>0</v>
      </c>
      <c r="H216" s="18">
        <v>0</v>
      </c>
      <c r="I216" s="18">
        <v>2</v>
      </c>
      <c r="J216" s="18">
        <v>0</v>
      </c>
      <c r="K216" s="18">
        <v>1</v>
      </c>
      <c r="L216" s="18">
        <v>0</v>
      </c>
      <c r="T216" s="3">
        <v>6</v>
      </c>
      <c r="U216" s="3">
        <v>7</v>
      </c>
      <c r="V216" s="3">
        <v>1</v>
      </c>
      <c r="X216" s="2" t="s">
        <v>1523</v>
      </c>
      <c r="Y216" s="18">
        <v>2</v>
      </c>
      <c r="Z216" s="18">
        <v>0</v>
      </c>
      <c r="AA216" s="18">
        <v>2</v>
      </c>
      <c r="AB216" s="18">
        <v>0</v>
      </c>
      <c r="AC216" s="18">
        <v>2</v>
      </c>
      <c r="AD216" s="18">
        <v>0</v>
      </c>
      <c r="AE216" s="18">
        <v>0</v>
      </c>
      <c r="AF216" s="18">
        <v>2</v>
      </c>
      <c r="AN216" s="3">
        <v>8</v>
      </c>
      <c r="AO216" s="3">
        <v>12</v>
      </c>
      <c r="AP216" s="3">
        <v>2</v>
      </c>
      <c r="AR216" s="2" t="s">
        <v>1524</v>
      </c>
    </row>
    <row r="217" spans="1:44" ht="12.75" customHeight="1">
      <c r="A217" s="4">
        <f>DATE(86,4,29)</f>
        <v>31531</v>
      </c>
      <c r="B217" s="2" t="s">
        <v>152</v>
      </c>
      <c r="C217" s="2" t="s">
        <v>174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1</v>
      </c>
      <c r="K217" s="18">
        <v>0</v>
      </c>
      <c r="T217" s="3">
        <v>1</v>
      </c>
      <c r="U217" s="3">
        <v>3</v>
      </c>
      <c r="V217" s="3">
        <v>1</v>
      </c>
      <c r="X217" s="2" t="s">
        <v>1538</v>
      </c>
      <c r="Y217" s="18">
        <v>1</v>
      </c>
      <c r="Z217" s="18">
        <v>0</v>
      </c>
      <c r="AA217" s="18">
        <v>2</v>
      </c>
      <c r="AB217" s="18">
        <v>0</v>
      </c>
      <c r="AC217" s="18">
        <v>0</v>
      </c>
      <c r="AD217" s="18">
        <v>3</v>
      </c>
      <c r="AE217" s="18" t="s">
        <v>162</v>
      </c>
      <c r="AN217" s="3">
        <v>6</v>
      </c>
      <c r="AO217" s="3">
        <v>9</v>
      </c>
      <c r="AP217" s="3">
        <v>1</v>
      </c>
      <c r="AR217" s="2" t="s">
        <v>1539</v>
      </c>
    </row>
    <row r="218" spans="1:44" ht="12.75" customHeight="1">
      <c r="A218" s="4">
        <f>DATE(87,4,22)</f>
        <v>31889</v>
      </c>
      <c r="C218" s="2" t="s">
        <v>174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4</v>
      </c>
      <c r="T218" s="3">
        <v>4</v>
      </c>
      <c r="U218" s="3">
        <v>8</v>
      </c>
      <c r="V218" s="3">
        <v>4</v>
      </c>
      <c r="X218" s="2" t="s">
        <v>1519</v>
      </c>
      <c r="Y218" s="18">
        <v>0</v>
      </c>
      <c r="Z218" s="18">
        <v>0</v>
      </c>
      <c r="AA218" s="18">
        <v>2</v>
      </c>
      <c r="AB218" s="18">
        <v>0</v>
      </c>
      <c r="AC218" s="18">
        <v>2</v>
      </c>
      <c r="AD218" s="18">
        <v>3</v>
      </c>
      <c r="AE218" s="18">
        <v>0</v>
      </c>
      <c r="AN218" s="3">
        <v>7</v>
      </c>
      <c r="AO218" s="3">
        <v>10</v>
      </c>
      <c r="AP218" s="3">
        <v>2</v>
      </c>
      <c r="AR218" s="2" t="s">
        <v>1575</v>
      </c>
    </row>
    <row r="219" spans="1:44" ht="12.75" customHeight="1">
      <c r="A219" s="4">
        <f>DATE(87,4,30)</f>
        <v>31897</v>
      </c>
      <c r="B219" s="2" t="s">
        <v>152</v>
      </c>
      <c r="C219" s="2" t="s">
        <v>174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T219" s="3">
        <v>0</v>
      </c>
      <c r="U219" s="3">
        <v>3</v>
      </c>
      <c r="V219" s="3">
        <v>1</v>
      </c>
      <c r="X219" s="2" t="s">
        <v>1578</v>
      </c>
      <c r="Y219" s="18">
        <v>3</v>
      </c>
      <c r="Z219" s="18">
        <v>2</v>
      </c>
      <c r="AA219" s="18">
        <v>0</v>
      </c>
      <c r="AB219" s="18">
        <v>3</v>
      </c>
      <c r="AC219" s="18">
        <v>2</v>
      </c>
      <c r="AN219" s="3">
        <v>10</v>
      </c>
      <c r="AO219" s="3">
        <v>9</v>
      </c>
      <c r="AP219" s="3">
        <v>0</v>
      </c>
      <c r="AR219" s="2" t="s">
        <v>1579</v>
      </c>
    </row>
    <row r="220" spans="1:44" ht="12.75" customHeight="1">
      <c r="A220" s="4">
        <f>DATE(88,4,14)</f>
        <v>32247</v>
      </c>
      <c r="C220" s="2" t="s">
        <v>174</v>
      </c>
      <c r="E220" s="18">
        <v>0</v>
      </c>
      <c r="F220" s="18">
        <v>0</v>
      </c>
      <c r="G220" s="18">
        <v>0</v>
      </c>
      <c r="H220" s="18">
        <v>6</v>
      </c>
      <c r="I220" s="18">
        <v>5</v>
      </c>
      <c r="J220" s="18">
        <v>0</v>
      </c>
      <c r="K220" s="18" t="s">
        <v>162</v>
      </c>
      <c r="T220" s="3">
        <v>11</v>
      </c>
      <c r="U220" s="3">
        <v>10</v>
      </c>
      <c r="V220" s="3">
        <v>1</v>
      </c>
      <c r="X220" s="2" t="s">
        <v>1599</v>
      </c>
      <c r="Y220" s="18">
        <v>0</v>
      </c>
      <c r="Z220" s="18">
        <v>2</v>
      </c>
      <c r="AA220" s="18">
        <v>0</v>
      </c>
      <c r="AB220" s="18">
        <v>2</v>
      </c>
      <c r="AC220" s="18">
        <v>0</v>
      </c>
      <c r="AD220" s="18">
        <v>2</v>
      </c>
      <c r="AE220" s="18">
        <v>0</v>
      </c>
      <c r="AN220" s="3">
        <v>6</v>
      </c>
      <c r="AO220" s="3">
        <v>9</v>
      </c>
      <c r="AP220" s="3">
        <v>2</v>
      </c>
      <c r="AR220" s="2" t="s">
        <v>1607</v>
      </c>
    </row>
    <row r="221" spans="1:44" ht="12.75" customHeight="1">
      <c r="A221" s="4">
        <f>DATE(88,5,21)</f>
        <v>32284</v>
      </c>
      <c r="B221" s="2" t="s">
        <v>152</v>
      </c>
      <c r="C221" s="2" t="s">
        <v>174</v>
      </c>
      <c r="E221" s="18">
        <v>0</v>
      </c>
      <c r="F221" s="18">
        <v>0</v>
      </c>
      <c r="G221" s="18">
        <v>3</v>
      </c>
      <c r="H221" s="18">
        <v>0</v>
      </c>
      <c r="I221" s="18">
        <v>3</v>
      </c>
      <c r="J221" s="18">
        <v>0</v>
      </c>
      <c r="K221" s="18">
        <v>0</v>
      </c>
      <c r="T221" s="3">
        <v>6</v>
      </c>
      <c r="U221" s="3">
        <v>6</v>
      </c>
      <c r="V221" s="3">
        <v>1</v>
      </c>
      <c r="X221" s="2" t="s">
        <v>1622</v>
      </c>
      <c r="Y221" s="18">
        <v>0</v>
      </c>
      <c r="Z221" s="18">
        <v>0</v>
      </c>
      <c r="AA221" s="18">
        <v>3</v>
      </c>
      <c r="AB221" s="18">
        <v>0</v>
      </c>
      <c r="AC221" s="18">
        <v>2</v>
      </c>
      <c r="AD221" s="18">
        <v>0</v>
      </c>
      <c r="AE221" s="18">
        <v>2</v>
      </c>
      <c r="AN221" s="3">
        <v>7</v>
      </c>
      <c r="AO221" s="3">
        <v>10</v>
      </c>
      <c r="AP221" s="3">
        <v>1</v>
      </c>
      <c r="AR221" s="2" t="s">
        <v>1623</v>
      </c>
    </row>
    <row r="222" spans="1:44" ht="12.75" customHeight="1">
      <c r="A222" s="4">
        <f>DATE(89,4,19)</f>
        <v>32617</v>
      </c>
      <c r="B222" s="2" t="s">
        <v>152</v>
      </c>
      <c r="C222" s="2" t="s">
        <v>174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T222" s="3">
        <v>0</v>
      </c>
      <c r="U222" s="3">
        <v>1</v>
      </c>
      <c r="V222" s="3">
        <v>0</v>
      </c>
      <c r="X222" s="2" t="s">
        <v>1641</v>
      </c>
      <c r="Y222" s="18">
        <v>0</v>
      </c>
      <c r="Z222" s="18">
        <v>0</v>
      </c>
      <c r="AA222" s="18">
        <v>2</v>
      </c>
      <c r="AB222" s="18">
        <v>1</v>
      </c>
      <c r="AC222" s="18">
        <v>7</v>
      </c>
      <c r="AD222" s="18" t="s">
        <v>162</v>
      </c>
      <c r="AN222" s="3">
        <v>10</v>
      </c>
      <c r="AO222" s="3">
        <v>7</v>
      </c>
      <c r="AP222" s="3">
        <v>0</v>
      </c>
      <c r="AR222" s="2" t="s">
        <v>1642</v>
      </c>
    </row>
    <row r="223" spans="1:44" ht="12.75" customHeight="1">
      <c r="A223" s="4">
        <f>DATE(89,5,17)</f>
        <v>32645</v>
      </c>
      <c r="C223" s="2" t="s">
        <v>174</v>
      </c>
      <c r="E223" s="18">
        <v>4</v>
      </c>
      <c r="F223" s="18">
        <v>0</v>
      </c>
      <c r="G223" s="18">
        <v>0</v>
      </c>
      <c r="H223" s="18">
        <v>0</v>
      </c>
      <c r="I223" s="18">
        <v>2</v>
      </c>
      <c r="J223" s="18">
        <v>2</v>
      </c>
      <c r="K223" s="18" t="s">
        <v>162</v>
      </c>
      <c r="T223" s="3">
        <v>8</v>
      </c>
      <c r="U223" s="3">
        <v>5</v>
      </c>
      <c r="V223" s="3">
        <v>0</v>
      </c>
      <c r="X223" s="2" t="s">
        <v>1656</v>
      </c>
      <c r="Y223" s="18">
        <v>2</v>
      </c>
      <c r="Z223" s="18">
        <v>0</v>
      </c>
      <c r="AA223" s="18">
        <v>0</v>
      </c>
      <c r="AB223" s="18">
        <v>0</v>
      </c>
      <c r="AC223" s="18">
        <v>0</v>
      </c>
      <c r="AD223" s="18">
        <v>2</v>
      </c>
      <c r="AE223" s="18">
        <v>0</v>
      </c>
      <c r="AN223" s="3">
        <v>4</v>
      </c>
      <c r="AO223" s="3">
        <v>8</v>
      </c>
      <c r="AP223" s="3">
        <v>3</v>
      </c>
      <c r="AR223" s="2" t="s">
        <v>1642</v>
      </c>
    </row>
    <row r="224" spans="1:44" ht="12.75" customHeight="1">
      <c r="A224" s="4">
        <f>DATE(90,4,19)</f>
        <v>32982</v>
      </c>
      <c r="B224" s="2" t="s">
        <v>152</v>
      </c>
      <c r="C224" s="2" t="s">
        <v>174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1</v>
      </c>
      <c r="K224" s="18">
        <v>0</v>
      </c>
      <c r="L224" s="18">
        <v>1</v>
      </c>
      <c r="T224" s="3">
        <v>2</v>
      </c>
      <c r="U224" s="3">
        <v>3</v>
      </c>
      <c r="V224" s="3">
        <v>5</v>
      </c>
      <c r="X224" s="2" t="s">
        <v>1691</v>
      </c>
      <c r="Y224" s="18">
        <v>0</v>
      </c>
      <c r="Z224" s="18">
        <v>0</v>
      </c>
      <c r="AA224" s="18">
        <v>0</v>
      </c>
      <c r="AB224" s="18">
        <v>0</v>
      </c>
      <c r="AC224" s="18">
        <v>1</v>
      </c>
      <c r="AD224" s="18">
        <v>0</v>
      </c>
      <c r="AE224" s="18">
        <v>0</v>
      </c>
      <c r="AF224" s="18">
        <v>0</v>
      </c>
      <c r="AN224" s="3">
        <v>1</v>
      </c>
      <c r="AO224" s="3">
        <v>4</v>
      </c>
      <c r="AP224" s="3">
        <v>2</v>
      </c>
      <c r="AR224" s="2" t="s">
        <v>1692</v>
      </c>
    </row>
    <row r="225" spans="1:44" ht="12.75" customHeight="1">
      <c r="A225" s="4">
        <f>DATE(90,5,18)</f>
        <v>33011</v>
      </c>
      <c r="C225" s="2" t="s">
        <v>174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T225" s="3">
        <v>0</v>
      </c>
      <c r="U225" s="3">
        <v>1</v>
      </c>
      <c r="V225" s="3">
        <v>1</v>
      </c>
      <c r="X225" s="2" t="s">
        <v>1707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1</v>
      </c>
      <c r="AN225" s="3">
        <v>1</v>
      </c>
      <c r="AO225" s="3">
        <v>5</v>
      </c>
      <c r="AP225" s="3">
        <v>0</v>
      </c>
      <c r="AR225" s="2" t="s">
        <v>1692</v>
      </c>
    </row>
    <row r="226" spans="1:44" ht="12.75" customHeight="1">
      <c r="A226" s="4">
        <f>DATE(91,4,16)</f>
        <v>33344</v>
      </c>
      <c r="C226" s="2" t="s">
        <v>174</v>
      </c>
      <c r="E226" s="18">
        <v>4</v>
      </c>
      <c r="F226" s="18">
        <v>1</v>
      </c>
      <c r="G226" s="18">
        <v>0</v>
      </c>
      <c r="H226" s="18">
        <v>3</v>
      </c>
      <c r="I226" s="18">
        <v>0</v>
      </c>
      <c r="J226" s="18">
        <v>1</v>
      </c>
      <c r="K226" s="18" t="s">
        <v>162</v>
      </c>
      <c r="T226" s="3">
        <v>9</v>
      </c>
      <c r="U226" s="3">
        <v>9</v>
      </c>
      <c r="V226" s="3">
        <v>0</v>
      </c>
      <c r="X226" s="2" t="s">
        <v>1700</v>
      </c>
      <c r="Y226" s="18">
        <v>0</v>
      </c>
      <c r="Z226" s="18">
        <v>0</v>
      </c>
      <c r="AA226" s="18">
        <v>1</v>
      </c>
      <c r="AB226" s="18">
        <v>4</v>
      </c>
      <c r="AC226" s="18">
        <v>0</v>
      </c>
      <c r="AD226" s="18">
        <v>0</v>
      </c>
      <c r="AE226" s="18">
        <v>0</v>
      </c>
      <c r="AN226" s="3">
        <v>5</v>
      </c>
      <c r="AO226" s="3">
        <v>9</v>
      </c>
      <c r="AP226" s="3">
        <v>2</v>
      </c>
      <c r="AR226" s="2" t="s">
        <v>1727</v>
      </c>
    </row>
    <row r="227" spans="1:44" ht="12.75" customHeight="1">
      <c r="A227" s="4">
        <f>DATE(91,5,2)</f>
        <v>33360</v>
      </c>
      <c r="B227" s="2" t="s">
        <v>152</v>
      </c>
      <c r="C227" s="2" t="s">
        <v>174</v>
      </c>
      <c r="E227" s="18">
        <v>3</v>
      </c>
      <c r="F227" s="18">
        <v>8</v>
      </c>
      <c r="G227" s="18">
        <v>1</v>
      </c>
      <c r="H227" s="18">
        <v>0</v>
      </c>
      <c r="I227" s="18">
        <v>1</v>
      </c>
      <c r="T227" s="3">
        <v>13</v>
      </c>
      <c r="U227" s="3">
        <v>12</v>
      </c>
      <c r="V227" s="3">
        <v>0</v>
      </c>
      <c r="X227" s="2" t="s">
        <v>1714</v>
      </c>
      <c r="Y227" s="18">
        <v>0</v>
      </c>
      <c r="Z227" s="18">
        <v>1</v>
      </c>
      <c r="AA227" s="18">
        <v>0</v>
      </c>
      <c r="AB227" s="18">
        <v>0</v>
      </c>
      <c r="AC227" s="18">
        <v>0</v>
      </c>
      <c r="AN227" s="3">
        <v>1</v>
      </c>
      <c r="AO227" s="3">
        <v>2</v>
      </c>
      <c r="AP227" s="3">
        <v>0</v>
      </c>
      <c r="AR227" s="2" t="s">
        <v>1735</v>
      </c>
    </row>
    <row r="228" spans="1:44" ht="12.75" customHeight="1">
      <c r="A228" s="4">
        <f>DATE(92,4,7)</f>
        <v>33701</v>
      </c>
      <c r="C228" s="2" t="s">
        <v>174</v>
      </c>
      <c r="E228" s="18">
        <v>0</v>
      </c>
      <c r="F228" s="18">
        <v>0</v>
      </c>
      <c r="G228" s="18">
        <v>2</v>
      </c>
      <c r="H228" s="18">
        <v>3</v>
      </c>
      <c r="I228" s="18">
        <v>3</v>
      </c>
      <c r="J228" s="18">
        <v>0</v>
      </c>
      <c r="T228" s="3">
        <v>8</v>
      </c>
      <c r="U228" s="3">
        <v>9</v>
      </c>
      <c r="V228" s="3">
        <v>8</v>
      </c>
      <c r="X228" s="2" t="s">
        <v>1780</v>
      </c>
      <c r="Y228" s="18">
        <v>2</v>
      </c>
      <c r="Z228" s="18">
        <v>0</v>
      </c>
      <c r="AA228" s="18">
        <v>2</v>
      </c>
      <c r="AB228" s="18">
        <v>4</v>
      </c>
      <c r="AC228" s="18">
        <v>1</v>
      </c>
      <c r="AD228" s="18">
        <v>11</v>
      </c>
      <c r="AN228" s="3">
        <f aca="true" t="shared" si="7" ref="AN228:AN247">SUM(Y228:AM228)</f>
        <v>20</v>
      </c>
      <c r="AO228" s="3">
        <v>15</v>
      </c>
      <c r="AP228" s="3">
        <v>5</v>
      </c>
      <c r="AR228" s="2" t="s">
        <v>1781</v>
      </c>
    </row>
    <row r="229" spans="1:44" ht="12.75" customHeight="1">
      <c r="A229" s="4">
        <f>DATE(92,5,7)</f>
        <v>33731</v>
      </c>
      <c r="B229" s="2" t="s">
        <v>152</v>
      </c>
      <c r="C229" s="2" t="s">
        <v>174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T229" s="3">
        <v>0</v>
      </c>
      <c r="U229" s="3">
        <v>2</v>
      </c>
      <c r="V229" s="3">
        <v>2</v>
      </c>
      <c r="X229" s="2" t="s">
        <v>1803</v>
      </c>
      <c r="Y229" s="18">
        <v>1</v>
      </c>
      <c r="Z229" s="18">
        <v>0</v>
      </c>
      <c r="AA229" s="18">
        <v>0</v>
      </c>
      <c r="AB229" s="18">
        <v>0</v>
      </c>
      <c r="AC229" s="18">
        <v>1</v>
      </c>
      <c r="AD229" s="18">
        <v>3</v>
      </c>
      <c r="AE229" s="18" t="s">
        <v>162</v>
      </c>
      <c r="AN229" s="3">
        <f t="shared" si="7"/>
        <v>5</v>
      </c>
      <c r="AO229" s="3">
        <v>5</v>
      </c>
      <c r="AP229" s="3">
        <v>0</v>
      </c>
      <c r="AR229" s="2" t="s">
        <v>1804</v>
      </c>
    </row>
    <row r="230" spans="1:44" ht="12.75" customHeight="1">
      <c r="A230" s="4">
        <f>DATE(93,4,19)</f>
        <v>34078</v>
      </c>
      <c r="C230" s="2" t="s">
        <v>174</v>
      </c>
      <c r="E230" s="18">
        <v>0</v>
      </c>
      <c r="F230" s="18">
        <v>1</v>
      </c>
      <c r="G230" s="18">
        <v>0</v>
      </c>
      <c r="H230" s="18">
        <v>0</v>
      </c>
      <c r="I230" s="18">
        <v>3</v>
      </c>
      <c r="J230" s="18">
        <v>1</v>
      </c>
      <c r="K230" s="18">
        <v>1</v>
      </c>
      <c r="T230" s="3">
        <f aca="true" t="shared" si="8" ref="T230:T247">SUM(E230:S230)</f>
        <v>6</v>
      </c>
      <c r="U230" s="3">
        <v>8</v>
      </c>
      <c r="V230" s="3">
        <v>1</v>
      </c>
      <c r="X230" s="2" t="s">
        <v>1822</v>
      </c>
      <c r="Y230" s="18">
        <v>2</v>
      </c>
      <c r="Z230" s="18">
        <v>1</v>
      </c>
      <c r="AA230" s="18">
        <v>1</v>
      </c>
      <c r="AB230" s="18">
        <v>0</v>
      </c>
      <c r="AC230" s="18">
        <v>2</v>
      </c>
      <c r="AD230" s="18">
        <v>4</v>
      </c>
      <c r="AE230" s="18">
        <v>0</v>
      </c>
      <c r="AN230" s="3">
        <f t="shared" si="7"/>
        <v>10</v>
      </c>
      <c r="AO230" s="3">
        <v>13</v>
      </c>
      <c r="AP230" s="3">
        <v>2</v>
      </c>
      <c r="AR230" s="2" t="s">
        <v>1804</v>
      </c>
    </row>
    <row r="231" spans="1:44" ht="12.75" customHeight="1">
      <c r="A231" s="4">
        <f>DATE(93,5,19)</f>
        <v>34108</v>
      </c>
      <c r="C231" s="2" t="s">
        <v>174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T231" s="3">
        <f t="shared" si="8"/>
        <v>0</v>
      </c>
      <c r="U231" s="3">
        <v>1</v>
      </c>
      <c r="V231" s="3">
        <v>3</v>
      </c>
      <c r="X231" s="2" t="s">
        <v>1843</v>
      </c>
      <c r="Y231" s="18">
        <v>0</v>
      </c>
      <c r="Z231" s="18">
        <v>0</v>
      </c>
      <c r="AA231" s="18">
        <v>0</v>
      </c>
      <c r="AB231" s="18">
        <v>4</v>
      </c>
      <c r="AC231" s="18">
        <v>0</v>
      </c>
      <c r="AD231" s="18">
        <v>6</v>
      </c>
      <c r="AN231" s="3">
        <f t="shared" si="7"/>
        <v>10</v>
      </c>
      <c r="AO231" s="3">
        <v>9</v>
      </c>
      <c r="AP231" s="3">
        <v>0</v>
      </c>
      <c r="AR231" s="2" t="s">
        <v>1844</v>
      </c>
    </row>
    <row r="232" spans="1:44" ht="12.75" customHeight="1">
      <c r="A232" s="4">
        <f>DATE(94,4,18)</f>
        <v>34442</v>
      </c>
      <c r="C232" s="2" t="s">
        <v>174</v>
      </c>
      <c r="E232" s="18">
        <v>3</v>
      </c>
      <c r="F232" s="18">
        <v>2</v>
      </c>
      <c r="G232" s="18">
        <v>0</v>
      </c>
      <c r="H232" s="18">
        <v>1</v>
      </c>
      <c r="I232" s="18">
        <v>1</v>
      </c>
      <c r="J232" s="18">
        <v>4</v>
      </c>
      <c r="K232" s="18" t="s">
        <v>162</v>
      </c>
      <c r="T232" s="3">
        <f t="shared" si="8"/>
        <v>11</v>
      </c>
      <c r="U232" s="3">
        <v>12</v>
      </c>
      <c r="V232" s="3">
        <v>1</v>
      </c>
      <c r="X232" s="2" t="s">
        <v>1853</v>
      </c>
      <c r="Y232" s="18">
        <v>0</v>
      </c>
      <c r="Z232" s="18">
        <v>0</v>
      </c>
      <c r="AA232" s="18">
        <v>4</v>
      </c>
      <c r="AB232" s="18">
        <v>0</v>
      </c>
      <c r="AC232" s="18">
        <v>0</v>
      </c>
      <c r="AD232" s="18">
        <v>2</v>
      </c>
      <c r="AE232" s="18">
        <v>0</v>
      </c>
      <c r="AN232" s="3">
        <f t="shared" si="7"/>
        <v>6</v>
      </c>
      <c r="AO232" s="3">
        <v>7</v>
      </c>
      <c r="AP232" s="3">
        <v>2</v>
      </c>
      <c r="AR232" s="2" t="s">
        <v>1854</v>
      </c>
    </row>
    <row r="233" spans="1:44" ht="12.75" customHeight="1">
      <c r="A233" s="4">
        <f>DATE(94,4,27)</f>
        <v>34451</v>
      </c>
      <c r="B233" s="2" t="s">
        <v>152</v>
      </c>
      <c r="C233" s="2" t="s">
        <v>174</v>
      </c>
      <c r="E233" s="18">
        <v>4</v>
      </c>
      <c r="F233" s="18">
        <v>4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2</v>
      </c>
      <c r="T233" s="3">
        <f t="shared" si="8"/>
        <v>10</v>
      </c>
      <c r="U233" s="3">
        <v>16</v>
      </c>
      <c r="V233" s="3">
        <v>0</v>
      </c>
      <c r="X233" s="2" t="s">
        <v>1864</v>
      </c>
      <c r="Y233" s="18">
        <v>0</v>
      </c>
      <c r="Z233" s="18">
        <v>2</v>
      </c>
      <c r="AA233" s="18">
        <v>1</v>
      </c>
      <c r="AB233" s="18">
        <v>0</v>
      </c>
      <c r="AC233" s="18">
        <v>2</v>
      </c>
      <c r="AD233" s="18">
        <v>2</v>
      </c>
      <c r="AE233" s="18">
        <v>1</v>
      </c>
      <c r="AF233" s="18">
        <v>0</v>
      </c>
      <c r="AN233" s="3">
        <f t="shared" si="7"/>
        <v>8</v>
      </c>
      <c r="AO233" s="3">
        <v>11</v>
      </c>
      <c r="AP233" s="3">
        <v>5</v>
      </c>
      <c r="AR233" s="2" t="s">
        <v>1865</v>
      </c>
    </row>
    <row r="234" spans="1:44" ht="12.75" customHeight="1">
      <c r="A234" s="4">
        <f>DATE(95,4,18)</f>
        <v>34807</v>
      </c>
      <c r="C234" s="2" t="s">
        <v>174</v>
      </c>
      <c r="E234" s="18">
        <v>0</v>
      </c>
      <c r="F234" s="18">
        <v>2</v>
      </c>
      <c r="G234" s="18">
        <v>3</v>
      </c>
      <c r="H234" s="18">
        <v>0</v>
      </c>
      <c r="I234" s="18">
        <v>0</v>
      </c>
      <c r="J234" s="18">
        <v>1</v>
      </c>
      <c r="K234" s="18" t="s">
        <v>162</v>
      </c>
      <c r="T234" s="3">
        <f t="shared" si="8"/>
        <v>6</v>
      </c>
      <c r="U234" s="3">
        <v>6</v>
      </c>
      <c r="V234" s="3">
        <v>0</v>
      </c>
      <c r="X234" s="2" t="s">
        <v>1824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N234" s="3">
        <f t="shared" si="7"/>
        <v>0</v>
      </c>
      <c r="AO234" s="3">
        <v>2</v>
      </c>
      <c r="AP234" s="3">
        <v>2</v>
      </c>
      <c r="AR234" s="2" t="s">
        <v>1886</v>
      </c>
    </row>
    <row r="235" spans="1:44" ht="12.75" customHeight="1">
      <c r="A235" s="4">
        <f>DATE(95,5,1)</f>
        <v>34820</v>
      </c>
      <c r="B235" s="2" t="s">
        <v>152</v>
      </c>
      <c r="C235" s="2" t="s">
        <v>174</v>
      </c>
      <c r="E235" s="18">
        <v>0</v>
      </c>
      <c r="F235" s="18">
        <v>3</v>
      </c>
      <c r="G235" s="18">
        <v>1</v>
      </c>
      <c r="H235" s="18">
        <v>0</v>
      </c>
      <c r="I235" s="18">
        <v>0</v>
      </c>
      <c r="J235" s="18">
        <v>1</v>
      </c>
      <c r="K235" s="18">
        <v>5</v>
      </c>
      <c r="T235" s="3">
        <f t="shared" si="8"/>
        <v>10</v>
      </c>
      <c r="U235" s="3">
        <v>12</v>
      </c>
      <c r="V235" s="3">
        <v>1</v>
      </c>
      <c r="X235" s="2" t="s">
        <v>1824</v>
      </c>
      <c r="Y235" s="18">
        <v>0</v>
      </c>
      <c r="Z235" s="18">
        <v>0</v>
      </c>
      <c r="AA235" s="18">
        <v>0</v>
      </c>
      <c r="AB235" s="18">
        <v>1</v>
      </c>
      <c r="AC235" s="18">
        <v>0</v>
      </c>
      <c r="AD235" s="18">
        <v>0</v>
      </c>
      <c r="AE235" s="18">
        <v>0</v>
      </c>
      <c r="AN235" s="3">
        <f t="shared" si="7"/>
        <v>1</v>
      </c>
      <c r="AO235" s="3">
        <v>4</v>
      </c>
      <c r="AP235" s="3">
        <v>1</v>
      </c>
      <c r="AR235" s="2" t="s">
        <v>1895</v>
      </c>
    </row>
    <row r="236" spans="1:44" ht="12.75" customHeight="1">
      <c r="A236" s="4">
        <v>35173</v>
      </c>
      <c r="C236" s="2" t="s">
        <v>174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T236" s="3">
        <f t="shared" si="8"/>
        <v>0</v>
      </c>
      <c r="U236" s="3">
        <v>0</v>
      </c>
      <c r="V236" s="3">
        <v>8</v>
      </c>
      <c r="X236" s="2" t="s">
        <v>1265</v>
      </c>
      <c r="Y236" s="18">
        <v>2</v>
      </c>
      <c r="Z236" s="18">
        <v>4</v>
      </c>
      <c r="AA236" s="18">
        <v>1</v>
      </c>
      <c r="AB236" s="18">
        <v>1</v>
      </c>
      <c r="AC236" s="18">
        <v>1</v>
      </c>
      <c r="AD236" s="18">
        <v>3</v>
      </c>
      <c r="AN236" s="3">
        <f t="shared" si="7"/>
        <v>12</v>
      </c>
      <c r="AO236" s="3">
        <v>11</v>
      </c>
      <c r="AP236" s="3">
        <v>0</v>
      </c>
      <c r="AR236" s="2" t="s">
        <v>1278</v>
      </c>
    </row>
    <row r="237" spans="1:44" ht="12.75" customHeight="1">
      <c r="A237" s="4">
        <v>35187</v>
      </c>
      <c r="B237" s="2" t="s">
        <v>152</v>
      </c>
      <c r="C237" s="2" t="s">
        <v>174</v>
      </c>
      <c r="E237" s="18">
        <v>0</v>
      </c>
      <c r="F237" s="18">
        <v>2</v>
      </c>
      <c r="G237" s="18">
        <v>0</v>
      </c>
      <c r="H237" s="18">
        <v>3</v>
      </c>
      <c r="I237" s="18">
        <v>3</v>
      </c>
      <c r="J237" s="18">
        <v>0</v>
      </c>
      <c r="K237" s="18">
        <v>0</v>
      </c>
      <c r="T237" s="3">
        <f t="shared" si="8"/>
        <v>8</v>
      </c>
      <c r="U237" s="3">
        <v>10</v>
      </c>
      <c r="V237" s="3">
        <v>3</v>
      </c>
      <c r="X237" s="2" t="s">
        <v>1269</v>
      </c>
      <c r="Y237" s="18">
        <v>2</v>
      </c>
      <c r="Z237" s="18">
        <v>0</v>
      </c>
      <c r="AA237" s="18">
        <v>7</v>
      </c>
      <c r="AB237" s="18">
        <v>0</v>
      </c>
      <c r="AC237" s="18">
        <v>1</v>
      </c>
      <c r="AD237" s="18">
        <v>0</v>
      </c>
      <c r="AE237" s="18" t="s">
        <v>162</v>
      </c>
      <c r="AN237" s="3">
        <f t="shared" si="7"/>
        <v>10</v>
      </c>
      <c r="AO237" s="3">
        <v>9</v>
      </c>
      <c r="AP237" s="3">
        <v>4</v>
      </c>
      <c r="AR237" s="2" t="s">
        <v>1285</v>
      </c>
    </row>
    <row r="238" spans="1:44" ht="12.75" customHeight="1">
      <c r="A238" s="9">
        <f>DATE(97,3,27)</f>
        <v>35516</v>
      </c>
      <c r="C238" s="2" t="s">
        <v>174</v>
      </c>
      <c r="E238" s="18">
        <v>0</v>
      </c>
      <c r="F238" s="18">
        <v>0</v>
      </c>
      <c r="G238" s="18">
        <v>0</v>
      </c>
      <c r="H238" s="18">
        <v>1</v>
      </c>
      <c r="I238" s="18">
        <v>1</v>
      </c>
      <c r="J238" s="18">
        <v>0</v>
      </c>
      <c r="T238" s="3">
        <f t="shared" si="8"/>
        <v>2</v>
      </c>
      <c r="U238" s="3">
        <v>3</v>
      </c>
      <c r="V238" s="3">
        <v>1</v>
      </c>
      <c r="X238" s="2" t="s">
        <v>427</v>
      </c>
      <c r="Y238" s="18">
        <v>0</v>
      </c>
      <c r="Z238" s="18">
        <v>1</v>
      </c>
      <c r="AA238" s="18">
        <v>1</v>
      </c>
      <c r="AB238" s="18">
        <v>2</v>
      </c>
      <c r="AC238" s="18">
        <v>7</v>
      </c>
      <c r="AD238" s="18">
        <v>1</v>
      </c>
      <c r="AN238" s="3">
        <f t="shared" si="7"/>
        <v>12</v>
      </c>
      <c r="AO238" s="3">
        <v>12</v>
      </c>
      <c r="AP238" s="3">
        <v>1</v>
      </c>
      <c r="AR238" s="2" t="s">
        <v>428</v>
      </c>
    </row>
    <row r="239" spans="1:44" ht="12.75" customHeight="1">
      <c r="A239" s="4">
        <f>DATE(1997,5,8)</f>
        <v>35558</v>
      </c>
      <c r="B239" s="2" t="s">
        <v>152</v>
      </c>
      <c r="C239" s="2" t="s">
        <v>174</v>
      </c>
      <c r="E239" s="18">
        <v>0</v>
      </c>
      <c r="F239" s="18">
        <v>0</v>
      </c>
      <c r="G239" s="18">
        <v>5</v>
      </c>
      <c r="H239" s="18">
        <v>2</v>
      </c>
      <c r="I239" s="18">
        <v>1</v>
      </c>
      <c r="J239" s="18">
        <v>0</v>
      </c>
      <c r="K239" s="18">
        <v>1</v>
      </c>
      <c r="L239" s="18">
        <v>0</v>
      </c>
      <c r="T239" s="3">
        <f t="shared" si="8"/>
        <v>9</v>
      </c>
      <c r="U239" s="3">
        <v>11</v>
      </c>
      <c r="V239" s="3">
        <v>3</v>
      </c>
      <c r="X239" s="2" t="s">
        <v>455</v>
      </c>
      <c r="Y239" s="18">
        <v>2</v>
      </c>
      <c r="Z239" s="18">
        <v>1</v>
      </c>
      <c r="AA239" s="18">
        <v>0</v>
      </c>
      <c r="AB239" s="18">
        <v>5</v>
      </c>
      <c r="AC239" s="18">
        <v>1</v>
      </c>
      <c r="AD239" s="18">
        <v>0</v>
      </c>
      <c r="AE239" s="18">
        <v>0</v>
      </c>
      <c r="AF239" s="18">
        <v>1</v>
      </c>
      <c r="AN239" s="3">
        <f t="shared" si="7"/>
        <v>10</v>
      </c>
      <c r="AO239" s="3">
        <v>11</v>
      </c>
      <c r="AP239" s="3">
        <v>0</v>
      </c>
      <c r="AR239" s="2" t="s">
        <v>453</v>
      </c>
    </row>
    <row r="240" spans="1:44" ht="12.75" customHeight="1">
      <c r="A240" s="4">
        <v>35887</v>
      </c>
      <c r="C240" s="2" t="s">
        <v>174</v>
      </c>
      <c r="E240" s="18">
        <v>4</v>
      </c>
      <c r="F240" s="18">
        <v>0</v>
      </c>
      <c r="G240" s="18">
        <v>1</v>
      </c>
      <c r="H240" s="18">
        <v>2</v>
      </c>
      <c r="I240" s="18">
        <v>2</v>
      </c>
      <c r="J240" s="18">
        <v>1</v>
      </c>
      <c r="K240" s="18" t="s">
        <v>162</v>
      </c>
      <c r="T240" s="3">
        <f t="shared" si="8"/>
        <v>10</v>
      </c>
      <c r="U240" s="3">
        <v>12</v>
      </c>
      <c r="V240" s="3">
        <v>2</v>
      </c>
      <c r="X240" s="2" t="s">
        <v>500</v>
      </c>
      <c r="Y240" s="18">
        <v>0</v>
      </c>
      <c r="Z240" s="18">
        <v>0</v>
      </c>
      <c r="AA240" s="18">
        <v>2</v>
      </c>
      <c r="AB240" s="18">
        <v>1</v>
      </c>
      <c r="AC240" s="18">
        <v>0</v>
      </c>
      <c r="AD240" s="18">
        <v>0</v>
      </c>
      <c r="AE240" s="18">
        <v>3</v>
      </c>
      <c r="AN240" s="3">
        <f t="shared" si="7"/>
        <v>6</v>
      </c>
      <c r="AO240" s="3">
        <v>8</v>
      </c>
      <c r="AP240" s="3">
        <v>2</v>
      </c>
      <c r="AR240" s="2" t="s">
        <v>1999</v>
      </c>
    </row>
    <row r="241" spans="1:44" ht="12.75" customHeight="1">
      <c r="A241" s="5">
        <v>36263</v>
      </c>
      <c r="C241" s="2" t="s">
        <v>174</v>
      </c>
      <c r="E241" s="18">
        <v>0</v>
      </c>
      <c r="F241" s="18">
        <v>0</v>
      </c>
      <c r="G241" s="18">
        <v>2</v>
      </c>
      <c r="H241" s="18">
        <v>2</v>
      </c>
      <c r="I241" s="18">
        <v>0</v>
      </c>
      <c r="J241" s="18">
        <v>1</v>
      </c>
      <c r="T241" s="3">
        <f t="shared" si="8"/>
        <v>5</v>
      </c>
      <c r="U241" s="3">
        <v>6</v>
      </c>
      <c r="V241" s="3">
        <v>1</v>
      </c>
      <c r="X241" s="2" t="s">
        <v>506</v>
      </c>
      <c r="Y241" s="18">
        <v>0</v>
      </c>
      <c r="Z241" s="18">
        <v>0</v>
      </c>
      <c r="AA241" s="18">
        <v>0</v>
      </c>
      <c r="AB241" s="18">
        <v>2</v>
      </c>
      <c r="AC241" s="18">
        <v>2</v>
      </c>
      <c r="AD241" s="18">
        <v>15</v>
      </c>
      <c r="AN241" s="3">
        <f t="shared" si="7"/>
        <v>19</v>
      </c>
      <c r="AO241" s="3">
        <v>16</v>
      </c>
      <c r="AP241" s="3">
        <v>2</v>
      </c>
      <c r="AR241" s="2" t="s">
        <v>611</v>
      </c>
    </row>
    <row r="242" spans="1:44" ht="12.75" customHeight="1">
      <c r="A242" s="4">
        <v>36628</v>
      </c>
      <c r="B242" s="2" t="s">
        <v>152</v>
      </c>
      <c r="C242" s="2" t="s">
        <v>174</v>
      </c>
      <c r="E242" s="18">
        <v>1</v>
      </c>
      <c r="F242" s="18">
        <v>0</v>
      </c>
      <c r="G242" s="18">
        <v>0</v>
      </c>
      <c r="H242" s="18">
        <v>2</v>
      </c>
      <c r="I242" s="18">
        <v>1</v>
      </c>
      <c r="J242" s="18">
        <v>0</v>
      </c>
      <c r="K242" s="18">
        <v>0</v>
      </c>
      <c r="T242" s="3">
        <f t="shared" si="8"/>
        <v>4</v>
      </c>
      <c r="U242" s="3">
        <v>7</v>
      </c>
      <c r="V242" s="3">
        <v>4</v>
      </c>
      <c r="X242" s="2" t="s">
        <v>82</v>
      </c>
      <c r="Y242" s="18">
        <v>2</v>
      </c>
      <c r="Z242" s="18">
        <v>0</v>
      </c>
      <c r="AA242" s="18">
        <v>6</v>
      </c>
      <c r="AB242" s="18">
        <v>0</v>
      </c>
      <c r="AC242" s="18">
        <v>0</v>
      </c>
      <c r="AD242" s="18">
        <v>1</v>
      </c>
      <c r="AE242" s="18" t="s">
        <v>162</v>
      </c>
      <c r="AN242" s="3">
        <f t="shared" si="7"/>
        <v>9</v>
      </c>
      <c r="AO242" s="3">
        <v>3</v>
      </c>
      <c r="AP242" s="3">
        <v>0</v>
      </c>
      <c r="AR242" s="2" t="s">
        <v>1918</v>
      </c>
    </row>
    <row r="243" spans="1:44" ht="12.75" customHeight="1">
      <c r="A243" s="5">
        <v>36986</v>
      </c>
      <c r="C243" s="2" t="s">
        <v>174</v>
      </c>
      <c r="E243" s="18">
        <v>1</v>
      </c>
      <c r="F243" s="18">
        <v>1</v>
      </c>
      <c r="G243" s="18">
        <v>0</v>
      </c>
      <c r="H243" s="18">
        <v>0</v>
      </c>
      <c r="I243" s="18">
        <v>5</v>
      </c>
      <c r="J243" s="18">
        <v>1</v>
      </c>
      <c r="K243" s="18" t="s">
        <v>162</v>
      </c>
      <c r="T243" s="3">
        <f t="shared" si="8"/>
        <v>8</v>
      </c>
      <c r="U243" s="3">
        <v>8</v>
      </c>
      <c r="V243" s="3">
        <v>2</v>
      </c>
      <c r="X243" s="2" t="s">
        <v>99</v>
      </c>
      <c r="Y243" s="18">
        <v>0</v>
      </c>
      <c r="Z243" s="18">
        <v>0</v>
      </c>
      <c r="AA243" s="18">
        <v>2</v>
      </c>
      <c r="AB243" s="18">
        <v>2</v>
      </c>
      <c r="AC243" s="18">
        <v>0</v>
      </c>
      <c r="AD243" s="18">
        <v>0</v>
      </c>
      <c r="AE243" s="18">
        <v>0</v>
      </c>
      <c r="AN243" s="3">
        <f t="shared" si="7"/>
        <v>4</v>
      </c>
      <c r="AO243" s="3">
        <v>4</v>
      </c>
      <c r="AP243" s="3">
        <v>3</v>
      </c>
      <c r="AR243" s="2" t="s">
        <v>100</v>
      </c>
    </row>
    <row r="244" spans="1:44" ht="12.75" customHeight="1">
      <c r="A244" s="8">
        <v>37356</v>
      </c>
      <c r="C244" s="2" t="s">
        <v>174</v>
      </c>
      <c r="E244" s="18">
        <v>0</v>
      </c>
      <c r="F244" s="18">
        <v>0</v>
      </c>
      <c r="G244" s="18">
        <v>1</v>
      </c>
      <c r="H244" s="18">
        <v>0</v>
      </c>
      <c r="I244" s="18">
        <v>1</v>
      </c>
      <c r="J244" s="18">
        <v>6</v>
      </c>
      <c r="K244" s="18">
        <v>0</v>
      </c>
      <c r="T244" s="3">
        <f t="shared" si="8"/>
        <v>8</v>
      </c>
      <c r="U244" s="3">
        <v>11</v>
      </c>
      <c r="V244" s="3">
        <v>2</v>
      </c>
      <c r="X244" s="2" t="s">
        <v>1557</v>
      </c>
      <c r="Y244" s="18">
        <v>0</v>
      </c>
      <c r="Z244" s="18">
        <v>2</v>
      </c>
      <c r="AA244" s="18">
        <v>0</v>
      </c>
      <c r="AB244" s="18">
        <v>0</v>
      </c>
      <c r="AC244" s="18">
        <v>0</v>
      </c>
      <c r="AD244" s="18">
        <v>0</v>
      </c>
      <c r="AE244" s="18">
        <v>5</v>
      </c>
      <c r="AN244" s="3">
        <f t="shared" si="7"/>
        <v>7</v>
      </c>
      <c r="AO244" s="3">
        <v>9</v>
      </c>
      <c r="AP244" s="3">
        <v>2</v>
      </c>
      <c r="AR244" s="2" t="s">
        <v>1427</v>
      </c>
    </row>
    <row r="245" spans="1:44" ht="12.75" customHeight="1">
      <c r="A245" s="8">
        <v>37714</v>
      </c>
      <c r="C245" s="2" t="s">
        <v>174</v>
      </c>
      <c r="E245" s="18">
        <v>2</v>
      </c>
      <c r="F245" s="18">
        <v>2</v>
      </c>
      <c r="G245" s="18">
        <v>2</v>
      </c>
      <c r="H245" s="18">
        <v>0</v>
      </c>
      <c r="I245" s="18">
        <v>4</v>
      </c>
      <c r="J245" s="18">
        <v>0</v>
      </c>
      <c r="K245" s="18" t="s">
        <v>162</v>
      </c>
      <c r="T245" s="3">
        <f t="shared" si="8"/>
        <v>10</v>
      </c>
      <c r="U245" s="3">
        <v>13</v>
      </c>
      <c r="V245" s="3">
        <v>1</v>
      </c>
      <c r="X245" s="2" t="s">
        <v>568</v>
      </c>
      <c r="Y245" s="18">
        <v>1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N245" s="3">
        <f t="shared" si="7"/>
        <v>1</v>
      </c>
      <c r="AO245" s="3">
        <v>4</v>
      </c>
      <c r="AP245" s="3">
        <v>4</v>
      </c>
      <c r="AR245" s="2" t="s">
        <v>569</v>
      </c>
    </row>
    <row r="246" spans="1:44" ht="12.75" customHeight="1">
      <c r="A246" s="5">
        <v>38083</v>
      </c>
      <c r="B246" s="2" t="s">
        <v>152</v>
      </c>
      <c r="C246" s="2" t="s">
        <v>174</v>
      </c>
      <c r="E246" s="18">
        <v>2</v>
      </c>
      <c r="F246" s="18">
        <v>0</v>
      </c>
      <c r="G246" s="18">
        <v>4</v>
      </c>
      <c r="H246" s="18">
        <v>0</v>
      </c>
      <c r="I246" s="18">
        <v>4</v>
      </c>
      <c r="J246" s="18">
        <v>1</v>
      </c>
      <c r="K246" s="18">
        <v>1</v>
      </c>
      <c r="T246" s="3">
        <f t="shared" si="8"/>
        <v>12</v>
      </c>
      <c r="U246" s="3">
        <v>15</v>
      </c>
      <c r="V246" s="3">
        <v>1</v>
      </c>
      <c r="X246" s="2" t="s">
        <v>507</v>
      </c>
      <c r="Y246" s="18">
        <v>0</v>
      </c>
      <c r="Z246" s="18">
        <v>3</v>
      </c>
      <c r="AA246" s="18">
        <v>1</v>
      </c>
      <c r="AB246" s="18">
        <v>0</v>
      </c>
      <c r="AC246" s="18">
        <v>0</v>
      </c>
      <c r="AD246" s="18">
        <v>1</v>
      </c>
      <c r="AE246" s="18">
        <v>0</v>
      </c>
      <c r="AN246" s="3">
        <f t="shared" si="7"/>
        <v>5</v>
      </c>
      <c r="AO246" s="3">
        <v>7</v>
      </c>
      <c r="AP246" s="3">
        <v>4</v>
      </c>
      <c r="AR246" s="2" t="s">
        <v>509</v>
      </c>
    </row>
    <row r="247" spans="1:44" ht="12.75" customHeight="1">
      <c r="A247" s="5">
        <f>DATE(2005,4,11)</f>
        <v>38453</v>
      </c>
      <c r="C247" s="2" t="s">
        <v>174</v>
      </c>
      <c r="E247" s="18">
        <v>1</v>
      </c>
      <c r="F247" s="18">
        <v>0</v>
      </c>
      <c r="G247" s="18">
        <v>0</v>
      </c>
      <c r="H247" s="18">
        <v>1</v>
      </c>
      <c r="I247" s="18">
        <v>0</v>
      </c>
      <c r="J247" s="18">
        <v>1</v>
      </c>
      <c r="K247" s="18">
        <v>1</v>
      </c>
      <c r="T247" s="3">
        <f t="shared" si="8"/>
        <v>4</v>
      </c>
      <c r="U247" s="3">
        <v>10</v>
      </c>
      <c r="V247" s="3">
        <v>3</v>
      </c>
      <c r="X247" s="2" t="s">
        <v>540</v>
      </c>
      <c r="Y247" s="18">
        <v>1</v>
      </c>
      <c r="Z247" s="18">
        <v>0</v>
      </c>
      <c r="AA247" s="18">
        <v>0</v>
      </c>
      <c r="AB247" s="18">
        <v>1</v>
      </c>
      <c r="AC247" s="18">
        <v>1</v>
      </c>
      <c r="AD247" s="18">
        <v>4</v>
      </c>
      <c r="AE247" s="18">
        <v>5</v>
      </c>
      <c r="AN247" s="3">
        <f t="shared" si="7"/>
        <v>12</v>
      </c>
      <c r="AO247" s="3">
        <v>14</v>
      </c>
      <c r="AP247" s="3">
        <v>4</v>
      </c>
      <c r="AR247" s="2" t="s">
        <v>541</v>
      </c>
    </row>
    <row r="248" spans="1:44" ht="12.75" customHeight="1">
      <c r="A248" s="5">
        <v>38806</v>
      </c>
      <c r="B248" s="2" t="s">
        <v>152</v>
      </c>
      <c r="C248" s="2" t="s">
        <v>174</v>
      </c>
      <c r="E248" s="18">
        <v>4</v>
      </c>
      <c r="F248" s="18">
        <v>0</v>
      </c>
      <c r="G248" s="18">
        <v>0</v>
      </c>
      <c r="H248" s="18">
        <v>0</v>
      </c>
      <c r="I248" s="18">
        <v>0</v>
      </c>
      <c r="J248" s="18">
        <v>1</v>
      </c>
      <c r="K248" s="18">
        <v>0</v>
      </c>
      <c r="T248" s="3">
        <v>5</v>
      </c>
      <c r="U248" s="3">
        <v>8</v>
      </c>
      <c r="V248" s="3">
        <v>3</v>
      </c>
      <c r="X248" s="2" t="s">
        <v>1817</v>
      </c>
      <c r="Y248" s="18">
        <v>0</v>
      </c>
      <c r="Z248" s="18">
        <v>1</v>
      </c>
      <c r="AA248" s="18">
        <v>0</v>
      </c>
      <c r="AB248" s="18">
        <v>2</v>
      </c>
      <c r="AC248" s="18">
        <v>1</v>
      </c>
      <c r="AD248" s="18">
        <v>1</v>
      </c>
      <c r="AE248" s="18">
        <v>1</v>
      </c>
      <c r="AN248" s="3">
        <v>6</v>
      </c>
      <c r="AO248" s="3">
        <v>9</v>
      </c>
      <c r="AP248" s="3">
        <v>4</v>
      </c>
      <c r="AR248" s="2" t="s">
        <v>496</v>
      </c>
    </row>
    <row r="249" spans="1:44" ht="12.75" customHeight="1">
      <c r="A249" s="5">
        <v>39172</v>
      </c>
      <c r="C249" s="2" t="s">
        <v>174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T249" s="3">
        <f aca="true" t="shared" si="9" ref="T249:T268">SUM(E249:S249)</f>
        <v>0</v>
      </c>
      <c r="U249" s="3">
        <v>2</v>
      </c>
      <c r="V249" s="3">
        <v>0</v>
      </c>
      <c r="X249" s="2" t="s">
        <v>465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3</v>
      </c>
      <c r="AN249" s="3">
        <f aca="true" t="shared" si="10" ref="AN249:AN268">SUM(Y249:AM249)</f>
        <v>3</v>
      </c>
      <c r="AO249" s="3">
        <v>10</v>
      </c>
      <c r="AP249" s="3">
        <v>0</v>
      </c>
      <c r="AR249" s="2" t="s">
        <v>496</v>
      </c>
    </row>
    <row r="250" spans="1:44" ht="12.75" customHeight="1">
      <c r="A250" s="5">
        <v>39570</v>
      </c>
      <c r="B250" s="2" t="s">
        <v>152</v>
      </c>
      <c r="C250" s="2" t="s">
        <v>174</v>
      </c>
      <c r="E250" s="18">
        <v>1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T250" s="3">
        <f t="shared" si="9"/>
        <v>1</v>
      </c>
      <c r="U250" s="3">
        <v>5</v>
      </c>
      <c r="V250" s="3">
        <v>2</v>
      </c>
      <c r="X250" s="2" t="s">
        <v>380</v>
      </c>
      <c r="Y250" s="18">
        <v>0</v>
      </c>
      <c r="Z250" s="18">
        <v>1</v>
      </c>
      <c r="AA250" s="18">
        <v>0</v>
      </c>
      <c r="AB250" s="18">
        <v>1</v>
      </c>
      <c r="AC250" s="18">
        <v>0</v>
      </c>
      <c r="AD250" s="18">
        <v>0</v>
      </c>
      <c r="AE250" s="18" t="s">
        <v>162</v>
      </c>
      <c r="AN250" s="3">
        <f t="shared" si="10"/>
        <v>2</v>
      </c>
      <c r="AO250" s="3">
        <v>6</v>
      </c>
      <c r="AP250" s="3">
        <v>3</v>
      </c>
      <c r="AR250" s="2" t="s">
        <v>381</v>
      </c>
    </row>
    <row r="251" spans="1:44" ht="12.75" customHeight="1">
      <c r="A251" s="5">
        <v>40630</v>
      </c>
      <c r="B251" s="2" t="s">
        <v>152</v>
      </c>
      <c r="C251" s="2" t="s">
        <v>174</v>
      </c>
      <c r="E251" s="18">
        <v>0</v>
      </c>
      <c r="F251" s="18">
        <v>0</v>
      </c>
      <c r="G251" s="18">
        <v>3</v>
      </c>
      <c r="H251" s="18">
        <v>3</v>
      </c>
      <c r="I251" s="18">
        <v>0</v>
      </c>
      <c r="T251" s="3">
        <f t="shared" si="9"/>
        <v>6</v>
      </c>
      <c r="U251" s="3">
        <v>6</v>
      </c>
      <c r="V251" s="3">
        <v>3</v>
      </c>
      <c r="X251" s="2" t="s">
        <v>1959</v>
      </c>
      <c r="Y251" s="18">
        <v>10</v>
      </c>
      <c r="Z251" s="18">
        <v>2</v>
      </c>
      <c r="AA251" s="18">
        <v>4</v>
      </c>
      <c r="AB251" s="18">
        <v>1</v>
      </c>
      <c r="AC251" s="18" t="s">
        <v>162</v>
      </c>
      <c r="AN251" s="3">
        <f t="shared" si="10"/>
        <v>17</v>
      </c>
      <c r="AO251" s="3">
        <v>13</v>
      </c>
      <c r="AP251" s="3">
        <v>2</v>
      </c>
      <c r="AR251" s="2" t="s">
        <v>2376</v>
      </c>
    </row>
    <row r="252" spans="1:44" ht="12.75" customHeight="1">
      <c r="A252" s="5">
        <v>40995</v>
      </c>
      <c r="C252" s="2" t="s">
        <v>174</v>
      </c>
      <c r="E252" s="18">
        <v>0</v>
      </c>
      <c r="F252" s="18">
        <v>0</v>
      </c>
      <c r="G252" s="18">
        <v>0</v>
      </c>
      <c r="H252" s="18">
        <v>0</v>
      </c>
      <c r="I252" s="18">
        <v>7</v>
      </c>
      <c r="J252" s="18">
        <v>5</v>
      </c>
      <c r="K252" s="18">
        <v>1</v>
      </c>
      <c r="T252" s="3">
        <f t="shared" si="9"/>
        <v>13</v>
      </c>
      <c r="U252" s="3">
        <v>13</v>
      </c>
      <c r="V252" s="3">
        <v>2</v>
      </c>
      <c r="X252" s="2" t="s">
        <v>2017</v>
      </c>
      <c r="Y252" s="18">
        <v>0</v>
      </c>
      <c r="Z252" s="18">
        <v>1</v>
      </c>
      <c r="AA252" s="18">
        <v>0</v>
      </c>
      <c r="AB252" s="18">
        <v>3</v>
      </c>
      <c r="AC252" s="18">
        <v>8</v>
      </c>
      <c r="AD252" s="18">
        <v>0</v>
      </c>
      <c r="AE252" s="18">
        <v>3</v>
      </c>
      <c r="AN252" s="3">
        <f t="shared" si="10"/>
        <v>15</v>
      </c>
      <c r="AO252" s="3">
        <v>19</v>
      </c>
      <c r="AP252" s="3">
        <v>2</v>
      </c>
      <c r="AR252" s="2" t="s">
        <v>2022</v>
      </c>
    </row>
    <row r="253" spans="1:44" ht="12.75" customHeight="1">
      <c r="A253" s="5">
        <v>41369</v>
      </c>
      <c r="B253" s="2" t="s">
        <v>152</v>
      </c>
      <c r="C253" s="2" t="s">
        <v>174</v>
      </c>
      <c r="E253" s="18">
        <v>0</v>
      </c>
      <c r="F253" s="18">
        <v>0</v>
      </c>
      <c r="G253" s="18">
        <v>0</v>
      </c>
      <c r="H253" s="18">
        <v>0</v>
      </c>
      <c r="I253" s="18">
        <v>2</v>
      </c>
      <c r="J253" s="18">
        <v>4</v>
      </c>
      <c r="K253" s="18">
        <v>0</v>
      </c>
      <c r="T253" s="3">
        <f t="shared" si="9"/>
        <v>6</v>
      </c>
      <c r="U253" s="3">
        <v>9</v>
      </c>
      <c r="V253" s="3">
        <v>5</v>
      </c>
      <c r="X253" s="2" t="s">
        <v>2056</v>
      </c>
      <c r="Y253" s="18">
        <v>1</v>
      </c>
      <c r="Z253" s="18">
        <v>0</v>
      </c>
      <c r="AA253" s="18">
        <v>0</v>
      </c>
      <c r="AB253" s="18">
        <v>1</v>
      </c>
      <c r="AC253" s="18">
        <v>2</v>
      </c>
      <c r="AD253" s="18">
        <v>11</v>
      </c>
      <c r="AE253" s="18" t="s">
        <v>162</v>
      </c>
      <c r="AN253" s="3">
        <f t="shared" si="10"/>
        <v>15</v>
      </c>
      <c r="AO253" s="3">
        <v>12</v>
      </c>
      <c r="AP253" s="3">
        <v>0</v>
      </c>
      <c r="AR253" s="2" t="s">
        <v>2057</v>
      </c>
    </row>
    <row r="254" spans="1:44" ht="12.75" customHeight="1">
      <c r="A254" s="5">
        <v>41394</v>
      </c>
      <c r="C254" s="2" t="s">
        <v>174</v>
      </c>
      <c r="E254" s="18">
        <v>0</v>
      </c>
      <c r="F254" s="18">
        <v>0</v>
      </c>
      <c r="G254" s="18">
        <v>1</v>
      </c>
      <c r="H254" s="18">
        <v>0</v>
      </c>
      <c r="I254" s="18">
        <v>0</v>
      </c>
      <c r="J254" s="18">
        <v>0</v>
      </c>
      <c r="K254" s="18">
        <v>1</v>
      </c>
      <c r="T254" s="3">
        <f t="shared" si="9"/>
        <v>2</v>
      </c>
      <c r="U254" s="3">
        <v>7</v>
      </c>
      <c r="V254" s="3">
        <v>1</v>
      </c>
      <c r="X254" s="2" t="s">
        <v>2092</v>
      </c>
      <c r="Y254" s="18">
        <v>0</v>
      </c>
      <c r="Z254" s="18">
        <v>0</v>
      </c>
      <c r="AA254" s="18">
        <v>1</v>
      </c>
      <c r="AB254" s="18">
        <v>0</v>
      </c>
      <c r="AC254" s="18">
        <v>0</v>
      </c>
      <c r="AD254" s="18">
        <v>0</v>
      </c>
      <c r="AE254" s="18">
        <v>0</v>
      </c>
      <c r="AN254" s="3">
        <f t="shared" si="10"/>
        <v>1</v>
      </c>
      <c r="AO254" s="3">
        <v>3</v>
      </c>
      <c r="AP254" s="3">
        <v>2</v>
      </c>
      <c r="AR254" s="2" t="s">
        <v>2093</v>
      </c>
    </row>
    <row r="255" spans="1:44" ht="12.75" customHeight="1">
      <c r="A255" s="5">
        <v>41757</v>
      </c>
      <c r="C255" s="2" t="s">
        <v>174</v>
      </c>
      <c r="E255" s="18">
        <v>2</v>
      </c>
      <c r="F255" s="18">
        <v>3</v>
      </c>
      <c r="G255" s="18">
        <v>3</v>
      </c>
      <c r="H255" s="18">
        <v>0</v>
      </c>
      <c r="I255" s="18">
        <v>2</v>
      </c>
      <c r="J255" s="18">
        <v>1</v>
      </c>
      <c r="K255" s="18" t="s">
        <v>162</v>
      </c>
      <c r="T255" s="3">
        <f t="shared" si="9"/>
        <v>11</v>
      </c>
      <c r="U255" s="3">
        <v>11</v>
      </c>
      <c r="V255" s="3">
        <v>4</v>
      </c>
      <c r="X255" s="2" t="s">
        <v>2052</v>
      </c>
      <c r="Y255" s="18">
        <v>2</v>
      </c>
      <c r="Z255" s="18">
        <v>0</v>
      </c>
      <c r="AA255" s="18">
        <v>0</v>
      </c>
      <c r="AB255" s="18">
        <v>0</v>
      </c>
      <c r="AC255" s="18">
        <v>3</v>
      </c>
      <c r="AD255" s="18">
        <v>0</v>
      </c>
      <c r="AE255" s="18">
        <v>0</v>
      </c>
      <c r="AN255" s="3">
        <f t="shared" si="10"/>
        <v>5</v>
      </c>
      <c r="AO255" s="3">
        <v>3</v>
      </c>
      <c r="AP255" s="3">
        <v>5</v>
      </c>
      <c r="AR255" s="2" t="s">
        <v>2053</v>
      </c>
    </row>
    <row r="256" spans="1:44" ht="12.75" customHeight="1">
      <c r="A256" s="5">
        <v>41771</v>
      </c>
      <c r="B256" s="2" t="s">
        <v>152</v>
      </c>
      <c r="C256" s="2" t="s">
        <v>174</v>
      </c>
      <c r="E256" s="18">
        <v>1</v>
      </c>
      <c r="F256" s="18">
        <v>3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T256" s="3">
        <f t="shared" si="9"/>
        <v>4</v>
      </c>
      <c r="U256" s="3">
        <v>2</v>
      </c>
      <c r="V256" s="3">
        <v>3</v>
      </c>
      <c r="X256" s="2" t="s">
        <v>2058</v>
      </c>
      <c r="Y256" s="18">
        <v>0</v>
      </c>
      <c r="Z256" s="18">
        <v>0</v>
      </c>
      <c r="AA256" s="18">
        <v>1</v>
      </c>
      <c r="AB256" s="18">
        <v>0</v>
      </c>
      <c r="AC256" s="18">
        <v>0</v>
      </c>
      <c r="AD256" s="18">
        <v>5</v>
      </c>
      <c r="AE256" s="18" t="s">
        <v>162</v>
      </c>
      <c r="AN256" s="3">
        <f t="shared" si="10"/>
        <v>6</v>
      </c>
      <c r="AO256" s="3">
        <v>10</v>
      </c>
      <c r="AP256" s="3">
        <v>2</v>
      </c>
      <c r="AR256" s="2" t="s">
        <v>2059</v>
      </c>
    </row>
    <row r="257" spans="1:44" ht="12.75" customHeight="1">
      <c r="A257" s="5">
        <v>42121</v>
      </c>
      <c r="C257" s="2" t="s">
        <v>174</v>
      </c>
      <c r="E257" s="18">
        <v>3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2</v>
      </c>
      <c r="T257" s="3">
        <f t="shared" si="9"/>
        <v>5</v>
      </c>
      <c r="U257" s="3">
        <v>6</v>
      </c>
      <c r="V257" s="3">
        <v>1</v>
      </c>
      <c r="X257" s="2" t="s">
        <v>2115</v>
      </c>
      <c r="Y257" s="18">
        <v>0</v>
      </c>
      <c r="Z257" s="18">
        <v>0</v>
      </c>
      <c r="AA257" s="18">
        <v>0</v>
      </c>
      <c r="AB257" s="18">
        <v>4</v>
      </c>
      <c r="AC257" s="18">
        <v>0</v>
      </c>
      <c r="AD257" s="18">
        <v>0</v>
      </c>
      <c r="AE257" s="18">
        <v>0</v>
      </c>
      <c r="AN257" s="3">
        <f t="shared" si="10"/>
        <v>4</v>
      </c>
      <c r="AO257" s="3">
        <v>8</v>
      </c>
      <c r="AP257" s="3">
        <v>2</v>
      </c>
      <c r="AR257" s="2" t="s">
        <v>2133</v>
      </c>
    </row>
    <row r="258" spans="1:44" ht="12.75" customHeight="1">
      <c r="A258" s="5">
        <v>42129</v>
      </c>
      <c r="B258" s="2" t="s">
        <v>152</v>
      </c>
      <c r="C258" s="2" t="s">
        <v>174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3</v>
      </c>
      <c r="K258" s="18">
        <v>2</v>
      </c>
      <c r="T258" s="3">
        <f t="shared" si="9"/>
        <v>5</v>
      </c>
      <c r="U258" s="3">
        <v>5</v>
      </c>
      <c r="V258" s="3">
        <v>4</v>
      </c>
      <c r="X258" s="2" t="s">
        <v>2128</v>
      </c>
      <c r="Y258" s="18">
        <v>0</v>
      </c>
      <c r="Z258" s="18">
        <v>0</v>
      </c>
      <c r="AA258" s="18">
        <v>2</v>
      </c>
      <c r="AB258" s="18">
        <v>0</v>
      </c>
      <c r="AC258" s="18">
        <v>0</v>
      </c>
      <c r="AD258" s="18">
        <v>8</v>
      </c>
      <c r="AE258" s="18" t="s">
        <v>162</v>
      </c>
      <c r="AN258" s="3">
        <f t="shared" si="10"/>
        <v>10</v>
      </c>
      <c r="AO258" s="3">
        <v>11</v>
      </c>
      <c r="AP258" s="3">
        <v>5</v>
      </c>
      <c r="AR258" s="2" t="s">
        <v>2129</v>
      </c>
    </row>
    <row r="259" spans="1:44" ht="12.75" customHeight="1">
      <c r="A259" s="5">
        <v>42466</v>
      </c>
      <c r="C259" s="2" t="s">
        <v>174</v>
      </c>
      <c r="E259" s="18">
        <v>1</v>
      </c>
      <c r="F259" s="18">
        <v>0</v>
      </c>
      <c r="G259" s="18">
        <v>0</v>
      </c>
      <c r="H259" s="18">
        <v>1</v>
      </c>
      <c r="I259" s="18">
        <v>1</v>
      </c>
      <c r="J259" s="18">
        <v>0</v>
      </c>
      <c r="K259" s="18" t="s">
        <v>162</v>
      </c>
      <c r="T259" s="3">
        <f t="shared" si="9"/>
        <v>3</v>
      </c>
      <c r="U259" s="3">
        <v>6</v>
      </c>
      <c r="V259" s="3">
        <v>1</v>
      </c>
      <c r="X259" s="2" t="s">
        <v>2065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N259" s="3">
        <f t="shared" si="10"/>
        <v>0</v>
      </c>
      <c r="AO259" s="3">
        <v>2</v>
      </c>
      <c r="AP259" s="3">
        <v>1</v>
      </c>
      <c r="AR259" s="2" t="s">
        <v>2147</v>
      </c>
    </row>
    <row r="260" spans="1:44" ht="12.75" customHeight="1">
      <c r="A260" s="5">
        <v>42501</v>
      </c>
      <c r="B260" s="2" t="s">
        <v>152</v>
      </c>
      <c r="C260" s="2" t="s">
        <v>174</v>
      </c>
      <c r="E260" s="18">
        <v>0</v>
      </c>
      <c r="F260" s="18">
        <v>0</v>
      </c>
      <c r="G260" s="18">
        <v>1</v>
      </c>
      <c r="H260" s="18">
        <v>1</v>
      </c>
      <c r="I260" s="18">
        <v>1</v>
      </c>
      <c r="J260" s="18">
        <v>0</v>
      </c>
      <c r="K260" s="18">
        <v>0</v>
      </c>
      <c r="L260" s="18">
        <v>0</v>
      </c>
      <c r="T260" s="3">
        <f t="shared" si="9"/>
        <v>3</v>
      </c>
      <c r="U260" s="3">
        <v>6</v>
      </c>
      <c r="V260" s="3">
        <v>1</v>
      </c>
      <c r="X260" s="2" t="s">
        <v>2173</v>
      </c>
      <c r="Y260" s="18">
        <v>1</v>
      </c>
      <c r="Z260" s="18">
        <v>0</v>
      </c>
      <c r="AA260" s="18">
        <v>0</v>
      </c>
      <c r="AB260" s="18">
        <v>0</v>
      </c>
      <c r="AC260" s="18">
        <v>0</v>
      </c>
      <c r="AD260" s="18">
        <v>2</v>
      </c>
      <c r="AE260" s="18">
        <v>0</v>
      </c>
      <c r="AF260" s="18">
        <v>1</v>
      </c>
      <c r="AN260" s="3">
        <f t="shared" si="10"/>
        <v>4</v>
      </c>
      <c r="AO260" s="3">
        <v>11</v>
      </c>
      <c r="AP260" s="3">
        <v>4</v>
      </c>
      <c r="AR260" s="2" t="s">
        <v>2158</v>
      </c>
    </row>
    <row r="261" spans="1:44" ht="12.75" customHeight="1">
      <c r="A261" s="5">
        <v>42830</v>
      </c>
      <c r="B261" s="2" t="s">
        <v>152</v>
      </c>
      <c r="C261" s="2" t="s">
        <v>174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T261" s="3">
        <f t="shared" si="9"/>
        <v>0</v>
      </c>
      <c r="U261" s="3">
        <v>2</v>
      </c>
      <c r="V261" s="3">
        <v>3</v>
      </c>
      <c r="X261" s="2" t="s">
        <v>2204</v>
      </c>
      <c r="Y261" s="18">
        <v>1</v>
      </c>
      <c r="Z261" s="18">
        <v>1</v>
      </c>
      <c r="AA261" s="18">
        <v>0</v>
      </c>
      <c r="AB261" s="18">
        <v>2</v>
      </c>
      <c r="AC261" s="18">
        <v>4</v>
      </c>
      <c r="AD261" s="18">
        <v>2</v>
      </c>
      <c r="AN261" s="3">
        <f t="shared" si="10"/>
        <v>10</v>
      </c>
      <c r="AO261" s="3">
        <v>13</v>
      </c>
      <c r="AP261" s="3">
        <v>2</v>
      </c>
      <c r="AR261" s="2" t="s">
        <v>2205</v>
      </c>
    </row>
    <row r="262" spans="1:44" ht="12.75" customHeight="1">
      <c r="A262" s="5">
        <v>42852</v>
      </c>
      <c r="C262" s="2" t="s">
        <v>174</v>
      </c>
      <c r="E262" s="18">
        <v>1</v>
      </c>
      <c r="F262" s="18">
        <v>0</v>
      </c>
      <c r="G262" s="18">
        <v>1</v>
      </c>
      <c r="H262" s="18">
        <v>0</v>
      </c>
      <c r="I262" s="18">
        <v>1</v>
      </c>
      <c r="J262" s="18">
        <v>0</v>
      </c>
      <c r="T262" s="3">
        <f t="shared" si="9"/>
        <v>3</v>
      </c>
      <c r="U262" s="3">
        <v>5</v>
      </c>
      <c r="V262" s="3">
        <v>1</v>
      </c>
      <c r="X262" s="2" t="s">
        <v>2187</v>
      </c>
      <c r="Y262" s="18">
        <v>0</v>
      </c>
      <c r="Z262" s="18">
        <v>0</v>
      </c>
      <c r="AA262" s="18">
        <v>5</v>
      </c>
      <c r="AB262" s="18">
        <v>1</v>
      </c>
      <c r="AC262" s="18">
        <v>1</v>
      </c>
      <c r="AD262" s="18">
        <v>0</v>
      </c>
      <c r="AN262" s="3">
        <f t="shared" si="10"/>
        <v>7</v>
      </c>
      <c r="AO262" s="3">
        <v>8</v>
      </c>
      <c r="AP262" s="3">
        <v>1</v>
      </c>
      <c r="AR262" s="2" t="s">
        <v>2188</v>
      </c>
    </row>
    <row r="263" spans="1:44" ht="12.75" customHeight="1">
      <c r="A263" s="5">
        <v>43217</v>
      </c>
      <c r="B263" s="2" t="s">
        <v>152</v>
      </c>
      <c r="C263" s="2" t="s">
        <v>174</v>
      </c>
      <c r="E263" s="18">
        <v>0</v>
      </c>
      <c r="F263" s="18">
        <v>0</v>
      </c>
      <c r="G263" s="18">
        <v>2</v>
      </c>
      <c r="H263" s="18">
        <v>2</v>
      </c>
      <c r="I263" s="18">
        <v>3</v>
      </c>
      <c r="J263" s="18">
        <v>0</v>
      </c>
      <c r="K263" s="18">
        <v>1</v>
      </c>
      <c r="T263" s="3">
        <f t="shared" si="9"/>
        <v>8</v>
      </c>
      <c r="U263" s="3">
        <v>4</v>
      </c>
      <c r="V263" s="3">
        <v>5</v>
      </c>
      <c r="X263" s="2" t="s">
        <v>2311</v>
      </c>
      <c r="Y263" s="18">
        <v>0</v>
      </c>
      <c r="Z263" s="18">
        <v>0</v>
      </c>
      <c r="AA263" s="18">
        <v>1</v>
      </c>
      <c r="AB263" s="18">
        <v>3</v>
      </c>
      <c r="AC263" s="18">
        <v>1</v>
      </c>
      <c r="AD263" s="18">
        <v>0</v>
      </c>
      <c r="AE263" s="18">
        <v>4</v>
      </c>
      <c r="AN263" s="3">
        <f t="shared" si="10"/>
        <v>9</v>
      </c>
      <c r="AO263" s="3">
        <v>12</v>
      </c>
      <c r="AP263" s="3">
        <v>3</v>
      </c>
      <c r="AR263" s="2" t="s">
        <v>2310</v>
      </c>
    </row>
    <row r="264" spans="1:44" ht="12.75" customHeight="1">
      <c r="A264" s="5">
        <v>43229</v>
      </c>
      <c r="B264" s="2" t="s">
        <v>152</v>
      </c>
      <c r="C264" s="2" t="s">
        <v>174</v>
      </c>
      <c r="E264" s="18">
        <v>1</v>
      </c>
      <c r="F264" s="18">
        <v>1</v>
      </c>
      <c r="G264" s="18">
        <v>0</v>
      </c>
      <c r="H264" s="18">
        <v>0</v>
      </c>
      <c r="I264" s="18">
        <v>0</v>
      </c>
      <c r="J264" s="18">
        <v>0</v>
      </c>
      <c r="K264" s="18">
        <v>1</v>
      </c>
      <c r="T264" s="3">
        <f t="shared" si="9"/>
        <v>3</v>
      </c>
      <c r="U264" s="3">
        <v>9</v>
      </c>
      <c r="V264" s="3">
        <v>2</v>
      </c>
      <c r="X264" s="2" t="s">
        <v>2233</v>
      </c>
      <c r="Y264" s="18">
        <v>1</v>
      </c>
      <c r="Z264" s="18">
        <v>0</v>
      </c>
      <c r="AA264" s="18">
        <v>1</v>
      </c>
      <c r="AB264" s="18">
        <v>3</v>
      </c>
      <c r="AC264" s="18">
        <v>0</v>
      </c>
      <c r="AD264" s="18">
        <v>2</v>
      </c>
      <c r="AE264" s="18">
        <v>2</v>
      </c>
      <c r="AN264" s="3">
        <f t="shared" si="10"/>
        <v>9</v>
      </c>
      <c r="AO264" s="3">
        <v>8</v>
      </c>
      <c r="AP264" s="3">
        <v>0</v>
      </c>
      <c r="AR264" s="2" t="s">
        <v>2301</v>
      </c>
    </row>
    <row r="265" spans="1:44" ht="12.75" customHeight="1">
      <c r="A265" s="5">
        <v>43572</v>
      </c>
      <c r="B265" s="2" t="s">
        <v>152</v>
      </c>
      <c r="C265" s="2" t="s">
        <v>174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T265" s="3">
        <f t="shared" si="9"/>
        <v>0</v>
      </c>
      <c r="U265" s="3">
        <v>6</v>
      </c>
      <c r="V265" s="3">
        <v>2</v>
      </c>
      <c r="X265" s="2" t="s">
        <v>2282</v>
      </c>
      <c r="Y265" s="18">
        <v>0</v>
      </c>
      <c r="Z265" s="18">
        <v>1</v>
      </c>
      <c r="AA265" s="18">
        <v>3</v>
      </c>
      <c r="AB265" s="18">
        <v>0</v>
      </c>
      <c r="AC265" s="18">
        <v>2</v>
      </c>
      <c r="AD265" s="18">
        <v>2</v>
      </c>
      <c r="AE265" s="18" t="s">
        <v>162</v>
      </c>
      <c r="AN265" s="3">
        <f t="shared" si="10"/>
        <v>8</v>
      </c>
      <c r="AO265" s="3">
        <v>7</v>
      </c>
      <c r="AP265" s="3">
        <v>0</v>
      </c>
      <c r="AR265" s="2" t="s">
        <v>2281</v>
      </c>
    </row>
    <row r="266" spans="1:44" ht="12.75" customHeight="1">
      <c r="A266" s="5">
        <v>43594</v>
      </c>
      <c r="C266" s="2" t="s">
        <v>174</v>
      </c>
      <c r="E266" s="18">
        <v>1</v>
      </c>
      <c r="F266" s="18">
        <v>1</v>
      </c>
      <c r="G266" s="18">
        <v>1</v>
      </c>
      <c r="H266" s="18">
        <v>0</v>
      </c>
      <c r="I266" s="18">
        <v>7</v>
      </c>
      <c r="J266" s="18">
        <v>0</v>
      </c>
      <c r="T266" s="3">
        <f t="shared" si="9"/>
        <v>10</v>
      </c>
      <c r="U266" s="3">
        <v>13</v>
      </c>
      <c r="V266" s="3">
        <v>3</v>
      </c>
      <c r="X266" s="2" t="s">
        <v>2269</v>
      </c>
      <c r="Y266" s="18">
        <v>8</v>
      </c>
      <c r="Z266" s="18">
        <v>0</v>
      </c>
      <c r="AA266" s="18">
        <v>1</v>
      </c>
      <c r="AB266" s="18">
        <v>0</v>
      </c>
      <c r="AC266" s="18">
        <v>7</v>
      </c>
      <c r="AD266" s="18">
        <v>7</v>
      </c>
      <c r="AN266" s="3">
        <f t="shared" si="10"/>
        <v>23</v>
      </c>
      <c r="AO266" s="3">
        <v>16</v>
      </c>
      <c r="AP266" s="3">
        <v>2</v>
      </c>
      <c r="AR266" s="2" t="s">
        <v>2270</v>
      </c>
    </row>
    <row r="267" spans="1:44" ht="12.75" customHeight="1">
      <c r="A267" s="5">
        <v>44301</v>
      </c>
      <c r="B267" s="2" t="s">
        <v>152</v>
      </c>
      <c r="C267" s="2" t="s">
        <v>174</v>
      </c>
      <c r="E267" s="18">
        <v>3</v>
      </c>
      <c r="F267" s="18">
        <v>1</v>
      </c>
      <c r="G267" s="18">
        <v>0</v>
      </c>
      <c r="H267" s="18">
        <v>3</v>
      </c>
      <c r="I267" s="18">
        <v>2</v>
      </c>
      <c r="J267" s="18">
        <v>0</v>
      </c>
      <c r="K267" s="18">
        <v>0</v>
      </c>
      <c r="T267" s="3">
        <f t="shared" si="9"/>
        <v>9</v>
      </c>
      <c r="U267" s="3">
        <v>14</v>
      </c>
      <c r="V267" s="3">
        <v>3</v>
      </c>
      <c r="X267" s="2" t="s">
        <v>2290</v>
      </c>
      <c r="Y267" s="18">
        <v>1</v>
      </c>
      <c r="Z267" s="18">
        <v>5</v>
      </c>
      <c r="AA267" s="18">
        <v>0</v>
      </c>
      <c r="AB267" s="18">
        <v>2</v>
      </c>
      <c r="AC267" s="18">
        <v>0</v>
      </c>
      <c r="AD267" s="18">
        <v>1</v>
      </c>
      <c r="AE267" s="18">
        <v>1</v>
      </c>
      <c r="AN267" s="3">
        <f t="shared" si="10"/>
        <v>10</v>
      </c>
      <c r="AO267" s="3">
        <v>11</v>
      </c>
      <c r="AP267" s="3">
        <v>1</v>
      </c>
      <c r="AR267" s="2" t="s">
        <v>2291</v>
      </c>
    </row>
    <row r="268" spans="1:44" ht="12.75" customHeight="1">
      <c r="A268" s="5">
        <v>44336</v>
      </c>
      <c r="C268" s="2" t="s">
        <v>174</v>
      </c>
      <c r="E268" s="18">
        <v>0</v>
      </c>
      <c r="F268" s="18">
        <v>0</v>
      </c>
      <c r="G268" s="18">
        <v>4</v>
      </c>
      <c r="H268" s="18">
        <v>1</v>
      </c>
      <c r="I268" s="18">
        <v>0</v>
      </c>
      <c r="J268" s="18">
        <v>0</v>
      </c>
      <c r="K268" s="18" t="s">
        <v>162</v>
      </c>
      <c r="T268" s="3">
        <f t="shared" si="9"/>
        <v>5</v>
      </c>
      <c r="U268" s="3">
        <v>7</v>
      </c>
      <c r="V268" s="3">
        <v>2</v>
      </c>
      <c r="X268" s="2" t="s">
        <v>2242</v>
      </c>
      <c r="Y268" s="18">
        <v>1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1</v>
      </c>
      <c r="AN268" s="3">
        <f t="shared" si="10"/>
        <v>2</v>
      </c>
      <c r="AO268" s="3">
        <v>10</v>
      </c>
      <c r="AP268" s="3">
        <v>3</v>
      </c>
      <c r="AR268" s="2" t="s">
        <v>2243</v>
      </c>
    </row>
    <row r="269" spans="1:44" ht="12.75">
      <c r="A269" s="5">
        <v>44665</v>
      </c>
      <c r="C269" s="2" t="s">
        <v>174</v>
      </c>
      <c r="E269" s="18">
        <v>3</v>
      </c>
      <c r="F269" s="18">
        <v>0</v>
      </c>
      <c r="G269" s="18">
        <v>0</v>
      </c>
      <c r="H269" s="18">
        <v>0</v>
      </c>
      <c r="I269" s="18">
        <v>0</v>
      </c>
      <c r="J269" s="18">
        <v>1</v>
      </c>
      <c r="K269" s="18">
        <v>1</v>
      </c>
      <c r="T269" s="3">
        <v>5</v>
      </c>
      <c r="U269" s="3">
        <v>9</v>
      </c>
      <c r="V269" s="3">
        <v>4</v>
      </c>
      <c r="X269" s="2" t="s">
        <v>2337</v>
      </c>
      <c r="Y269" s="18">
        <v>3</v>
      </c>
      <c r="Z269" s="18">
        <v>1</v>
      </c>
      <c r="AA269" s="18">
        <v>0</v>
      </c>
      <c r="AB269" s="18">
        <v>0</v>
      </c>
      <c r="AC269" s="18">
        <v>1</v>
      </c>
      <c r="AD269" s="18">
        <v>6</v>
      </c>
      <c r="AE269" s="18">
        <v>1</v>
      </c>
      <c r="AN269" s="3">
        <v>12</v>
      </c>
      <c r="AO269" s="3">
        <v>11</v>
      </c>
      <c r="AP269" s="3">
        <v>1</v>
      </c>
      <c r="AR269" s="2" t="s">
        <v>2343</v>
      </c>
    </row>
    <row r="270" spans="1:44" ht="12.75">
      <c r="A270" s="5">
        <v>44686</v>
      </c>
      <c r="B270" s="2" t="s">
        <v>152</v>
      </c>
      <c r="C270" s="2" t="s">
        <v>174</v>
      </c>
      <c r="E270" s="18">
        <v>0</v>
      </c>
      <c r="F270" s="18">
        <v>0</v>
      </c>
      <c r="G270" s="18">
        <v>0</v>
      </c>
      <c r="H270" s="18">
        <v>0</v>
      </c>
      <c r="T270" s="3">
        <v>0</v>
      </c>
      <c r="U270" s="3">
        <v>2</v>
      </c>
      <c r="V270" s="3">
        <v>2</v>
      </c>
      <c r="X270" s="2" t="s">
        <v>2356</v>
      </c>
      <c r="Y270" s="18">
        <v>3</v>
      </c>
      <c r="Z270" s="18">
        <v>6</v>
      </c>
      <c r="AA270" s="18">
        <v>0</v>
      </c>
      <c r="AB270" s="18">
        <v>8</v>
      </c>
      <c r="AN270" s="3">
        <v>17</v>
      </c>
      <c r="AO270" s="3">
        <v>16</v>
      </c>
      <c r="AP270" s="3">
        <v>2</v>
      </c>
      <c r="AR270" s="2" t="s">
        <v>2355</v>
      </c>
    </row>
    <row r="271" spans="1:44" ht="12.75" customHeight="1">
      <c r="A271" s="4">
        <f>DATE(89,4,13)</f>
        <v>32611</v>
      </c>
      <c r="B271" s="2" t="s">
        <v>152</v>
      </c>
      <c r="C271" s="2" t="s">
        <v>132</v>
      </c>
      <c r="E271" s="18">
        <v>0</v>
      </c>
      <c r="F271" s="18">
        <v>4</v>
      </c>
      <c r="G271" s="18">
        <v>0</v>
      </c>
      <c r="H271" s="18">
        <v>1</v>
      </c>
      <c r="I271" s="18">
        <v>0</v>
      </c>
      <c r="J271" s="18">
        <v>1</v>
      </c>
      <c r="K271" s="18">
        <v>0</v>
      </c>
      <c r="T271" s="3">
        <v>6</v>
      </c>
      <c r="U271" s="3">
        <v>10</v>
      </c>
      <c r="V271" s="3">
        <v>2</v>
      </c>
      <c r="X271" s="2" t="s">
        <v>1639</v>
      </c>
      <c r="Y271" s="18">
        <v>0</v>
      </c>
      <c r="Z271" s="18">
        <v>0</v>
      </c>
      <c r="AA271" s="18">
        <v>0</v>
      </c>
      <c r="AB271" s="18">
        <v>0</v>
      </c>
      <c r="AC271" s="18">
        <v>2</v>
      </c>
      <c r="AD271" s="18">
        <v>0</v>
      </c>
      <c r="AE271" s="18">
        <v>0</v>
      </c>
      <c r="AN271" s="3">
        <v>2</v>
      </c>
      <c r="AO271" s="3">
        <v>4</v>
      </c>
      <c r="AP271" s="3">
        <v>1</v>
      </c>
      <c r="AR271" s="2" t="s">
        <v>1640</v>
      </c>
    </row>
    <row r="272" spans="1:44" ht="12.75" customHeight="1">
      <c r="A272" s="4">
        <f>DATE(82,3,25)</f>
        <v>30035</v>
      </c>
      <c r="B272" s="2" t="s">
        <v>152</v>
      </c>
      <c r="C272" s="2" t="s">
        <v>1355</v>
      </c>
      <c r="E272" s="18">
        <v>0</v>
      </c>
      <c r="F272" s="18">
        <v>0</v>
      </c>
      <c r="G272" s="18">
        <v>1</v>
      </c>
      <c r="H272" s="18">
        <v>2</v>
      </c>
      <c r="I272" s="18">
        <v>7</v>
      </c>
      <c r="J272" s="18">
        <v>0</v>
      </c>
      <c r="K272" s="18">
        <v>0</v>
      </c>
      <c r="T272" s="3">
        <v>10</v>
      </c>
      <c r="U272" s="3">
        <v>10</v>
      </c>
      <c r="V272" s="3">
        <v>4</v>
      </c>
      <c r="X272" s="2" t="s">
        <v>1356</v>
      </c>
      <c r="Y272" s="18">
        <v>0</v>
      </c>
      <c r="Z272" s="18">
        <v>1</v>
      </c>
      <c r="AA272" s="18">
        <v>0</v>
      </c>
      <c r="AB272" s="18">
        <v>2</v>
      </c>
      <c r="AC272" s="18">
        <v>0</v>
      </c>
      <c r="AD272" s="18">
        <v>0</v>
      </c>
      <c r="AE272" s="18">
        <v>0</v>
      </c>
      <c r="AN272" s="3">
        <v>3</v>
      </c>
      <c r="AO272" s="3">
        <v>5</v>
      </c>
      <c r="AP272" s="3">
        <v>3</v>
      </c>
      <c r="AR272" s="2" t="s">
        <v>301</v>
      </c>
    </row>
    <row r="273" spans="1:44" ht="12.75" customHeight="1">
      <c r="A273" s="4">
        <f>DATE(78,3,23)</f>
        <v>28572</v>
      </c>
      <c r="B273" s="2" t="s">
        <v>152</v>
      </c>
      <c r="C273" s="2" t="s">
        <v>1145</v>
      </c>
      <c r="E273" s="18">
        <v>2</v>
      </c>
      <c r="F273" s="18">
        <v>0</v>
      </c>
      <c r="G273" s="18">
        <v>1</v>
      </c>
      <c r="H273" s="18">
        <v>2</v>
      </c>
      <c r="I273" s="18">
        <v>1</v>
      </c>
      <c r="J273" s="18">
        <v>0</v>
      </c>
      <c r="K273" s="18">
        <v>0</v>
      </c>
      <c r="T273" s="3">
        <v>6</v>
      </c>
      <c r="U273" s="3">
        <v>10</v>
      </c>
      <c r="V273" s="3">
        <v>8</v>
      </c>
      <c r="X273" s="2" t="s">
        <v>1146</v>
      </c>
      <c r="Y273" s="18">
        <v>2</v>
      </c>
      <c r="Z273" s="18">
        <v>2</v>
      </c>
      <c r="AA273" s="18">
        <v>3</v>
      </c>
      <c r="AB273" s="18">
        <v>0</v>
      </c>
      <c r="AC273" s="18">
        <v>0</v>
      </c>
      <c r="AD273" s="18">
        <v>0</v>
      </c>
      <c r="AE273" s="18" t="s">
        <v>162</v>
      </c>
      <c r="AN273" s="3">
        <v>7</v>
      </c>
      <c r="AO273" s="3">
        <v>5</v>
      </c>
      <c r="AP273" s="3">
        <v>2</v>
      </c>
      <c r="AR273" s="2" t="s">
        <v>261</v>
      </c>
    </row>
    <row r="274" spans="1:44" ht="12.75" customHeight="1">
      <c r="A274" s="4">
        <f>DATE(87,6,4)</f>
        <v>31932</v>
      </c>
      <c r="B274" s="2" t="s">
        <v>239</v>
      </c>
      <c r="C274" s="2" t="s">
        <v>1591</v>
      </c>
      <c r="D274" s="2" t="s">
        <v>260</v>
      </c>
      <c r="E274" s="18">
        <v>3</v>
      </c>
      <c r="F274" s="18">
        <v>1</v>
      </c>
      <c r="G274" s="18">
        <v>3</v>
      </c>
      <c r="H274" s="18">
        <v>0</v>
      </c>
      <c r="I274" s="18">
        <v>0</v>
      </c>
      <c r="J274" s="18">
        <v>0</v>
      </c>
      <c r="K274" s="18">
        <v>0</v>
      </c>
      <c r="L274" s="18">
        <v>3</v>
      </c>
      <c r="T274" s="3">
        <v>10</v>
      </c>
      <c r="U274" s="3">
        <v>17</v>
      </c>
      <c r="V274" s="3">
        <v>6</v>
      </c>
      <c r="X274" s="2" t="s">
        <v>1592</v>
      </c>
      <c r="Y274" s="18">
        <v>1</v>
      </c>
      <c r="Z274" s="18">
        <v>0</v>
      </c>
      <c r="AA274" s="18">
        <v>2</v>
      </c>
      <c r="AB274" s="18">
        <v>2</v>
      </c>
      <c r="AC274" s="18">
        <v>1</v>
      </c>
      <c r="AD274" s="18">
        <v>0</v>
      </c>
      <c r="AE274" s="18">
        <v>1</v>
      </c>
      <c r="AF274" s="18">
        <v>4</v>
      </c>
      <c r="AN274" s="3">
        <v>11</v>
      </c>
      <c r="AO274" s="3">
        <v>13</v>
      </c>
      <c r="AP274" s="3">
        <v>1</v>
      </c>
      <c r="AR274" s="2" t="s">
        <v>1593</v>
      </c>
    </row>
    <row r="275" spans="1:44" ht="12.75" customHeight="1">
      <c r="A275" s="4">
        <f>DATE(90,3,28)</f>
        <v>32960</v>
      </c>
      <c r="B275" s="2" t="s">
        <v>152</v>
      </c>
      <c r="C275" s="2" t="s">
        <v>626</v>
      </c>
      <c r="E275" s="18">
        <v>2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T275" s="3">
        <v>2</v>
      </c>
      <c r="U275" s="3">
        <v>7</v>
      </c>
      <c r="V275" s="3">
        <v>1</v>
      </c>
      <c r="X275" s="2" t="s">
        <v>1665</v>
      </c>
      <c r="Y275" s="18">
        <v>0</v>
      </c>
      <c r="Z275" s="18">
        <v>0</v>
      </c>
      <c r="AA275" s="18">
        <v>2</v>
      </c>
      <c r="AB275" s="18">
        <v>0</v>
      </c>
      <c r="AC275" s="18">
        <v>0</v>
      </c>
      <c r="AD275" s="18">
        <v>0</v>
      </c>
      <c r="AE275" s="18">
        <v>1</v>
      </c>
      <c r="AN275" s="3">
        <v>3</v>
      </c>
      <c r="AO275" s="3">
        <v>1</v>
      </c>
      <c r="AP275" s="3">
        <v>1</v>
      </c>
      <c r="AR275" s="2" t="s">
        <v>1666</v>
      </c>
    </row>
    <row r="276" spans="1:44" ht="12.75" customHeight="1">
      <c r="A276" s="20">
        <v>1947</v>
      </c>
      <c r="C276" s="2" t="s">
        <v>330</v>
      </c>
      <c r="T276" s="3">
        <v>5</v>
      </c>
      <c r="U276" s="3" t="s">
        <v>162</v>
      </c>
      <c r="V276" s="3" t="s">
        <v>162</v>
      </c>
      <c r="X276" s="2" t="s">
        <v>27</v>
      </c>
      <c r="AN276" s="3">
        <v>4</v>
      </c>
      <c r="AO276" s="3" t="s">
        <v>162</v>
      </c>
      <c r="AP276" s="3" t="s">
        <v>162</v>
      </c>
      <c r="AR276" s="2" t="s">
        <v>27</v>
      </c>
    </row>
    <row r="277" spans="1:44" ht="12.75" customHeight="1">
      <c r="A277" s="4">
        <v>18032</v>
      </c>
      <c r="C277" s="2" t="s">
        <v>330</v>
      </c>
      <c r="E277" s="18">
        <v>0</v>
      </c>
      <c r="F277" s="18">
        <v>0</v>
      </c>
      <c r="G277" s="18">
        <v>2</v>
      </c>
      <c r="H277" s="18">
        <v>1</v>
      </c>
      <c r="I277" s="18">
        <v>6</v>
      </c>
      <c r="J277" s="18">
        <v>2</v>
      </c>
      <c r="K277" s="18" t="s">
        <v>162</v>
      </c>
      <c r="T277" s="3">
        <v>11</v>
      </c>
      <c r="U277" s="3">
        <v>8</v>
      </c>
      <c r="V277" s="3">
        <v>1</v>
      </c>
      <c r="X277" s="2" t="s">
        <v>79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N277" s="3">
        <v>0</v>
      </c>
      <c r="AO277" s="3">
        <v>0</v>
      </c>
      <c r="AP277" s="3">
        <v>2</v>
      </c>
      <c r="AR277" s="2" t="s">
        <v>341</v>
      </c>
    </row>
    <row r="278" spans="1:44" ht="12.75" customHeight="1">
      <c r="A278" s="4">
        <v>18042</v>
      </c>
      <c r="B278" s="2" t="s">
        <v>152</v>
      </c>
      <c r="C278" s="2" t="s">
        <v>330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T278" s="3">
        <v>0</v>
      </c>
      <c r="U278" s="3">
        <v>2</v>
      </c>
      <c r="V278" s="3">
        <v>2</v>
      </c>
      <c r="X278" s="2" t="s">
        <v>79</v>
      </c>
      <c r="Y278" s="18">
        <v>1</v>
      </c>
      <c r="Z278" s="18">
        <v>0</v>
      </c>
      <c r="AA278" s="18">
        <v>1</v>
      </c>
      <c r="AB278" s="18">
        <v>0</v>
      </c>
      <c r="AC278" s="18">
        <v>0</v>
      </c>
      <c r="AD278" s="18">
        <v>0</v>
      </c>
      <c r="AE278" s="18" t="s">
        <v>162</v>
      </c>
      <c r="AN278" s="3">
        <v>2</v>
      </c>
      <c r="AO278" s="3">
        <v>3</v>
      </c>
      <c r="AP278" s="3">
        <v>1</v>
      </c>
      <c r="AR278" s="2" t="s">
        <v>344</v>
      </c>
    </row>
    <row r="279" spans="1:44" ht="12.75" customHeight="1">
      <c r="A279" s="5">
        <v>40285</v>
      </c>
      <c r="C279" s="2" t="s">
        <v>766</v>
      </c>
      <c r="D279" s="2" t="s">
        <v>1743</v>
      </c>
      <c r="E279" s="18">
        <v>0</v>
      </c>
      <c r="F279" s="18">
        <v>0</v>
      </c>
      <c r="G279" s="18">
        <v>4</v>
      </c>
      <c r="H279" s="18">
        <v>0</v>
      </c>
      <c r="I279" s="18">
        <v>4</v>
      </c>
      <c r="J279" s="18">
        <v>2</v>
      </c>
      <c r="T279" s="3">
        <f>SUM(E279:S279)</f>
        <v>10</v>
      </c>
      <c r="U279" s="3">
        <v>11</v>
      </c>
      <c r="V279" s="3">
        <v>2</v>
      </c>
      <c r="X279" s="2" t="s">
        <v>770</v>
      </c>
      <c r="Y279" s="18">
        <v>0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  <c r="AN279" s="3">
        <f>SUM(Y279:AM279)</f>
        <v>0</v>
      </c>
      <c r="AO279" s="3">
        <v>2</v>
      </c>
      <c r="AP279" s="3">
        <v>5</v>
      </c>
      <c r="AR279" s="2" t="s">
        <v>771</v>
      </c>
    </row>
    <row r="280" spans="1:44" ht="12.75" customHeight="1">
      <c r="A280" s="4">
        <f>DATE(76,4,11)</f>
        <v>27861</v>
      </c>
      <c r="B280" s="2" t="s">
        <v>152</v>
      </c>
      <c r="C280" s="2" t="s">
        <v>385</v>
      </c>
      <c r="E280" s="18">
        <v>1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7</v>
      </c>
      <c r="T280" s="3">
        <v>8</v>
      </c>
      <c r="U280" s="3">
        <v>8</v>
      </c>
      <c r="V280" s="3">
        <v>9</v>
      </c>
      <c r="X280" s="2" t="s">
        <v>1068</v>
      </c>
      <c r="Y280" s="18">
        <v>4</v>
      </c>
      <c r="Z280" s="18">
        <v>0</v>
      </c>
      <c r="AA280" s="18">
        <v>0</v>
      </c>
      <c r="AB280" s="18">
        <v>1</v>
      </c>
      <c r="AC280" s="18">
        <v>0</v>
      </c>
      <c r="AD280" s="18">
        <v>4</v>
      </c>
      <c r="AE280" s="18" t="s">
        <v>162</v>
      </c>
      <c r="AN280" s="3">
        <v>9</v>
      </c>
      <c r="AO280" s="3">
        <v>4</v>
      </c>
      <c r="AP280" s="3">
        <v>2</v>
      </c>
      <c r="AR280" s="2" t="s">
        <v>255</v>
      </c>
    </row>
    <row r="281" spans="1:44" ht="12.75" customHeight="1">
      <c r="A281" s="4">
        <f>DATE(77,5,2)</f>
        <v>28247</v>
      </c>
      <c r="C281" s="2" t="s">
        <v>385</v>
      </c>
      <c r="E281" s="18">
        <v>1</v>
      </c>
      <c r="F281" s="18">
        <v>0</v>
      </c>
      <c r="G281" s="18">
        <v>0</v>
      </c>
      <c r="H281" s="18">
        <v>1</v>
      </c>
      <c r="I281" s="18">
        <v>0</v>
      </c>
      <c r="J281" s="18">
        <v>1</v>
      </c>
      <c r="K281" s="18">
        <v>3</v>
      </c>
      <c r="T281" s="3">
        <v>6</v>
      </c>
      <c r="U281" s="3">
        <v>9</v>
      </c>
      <c r="V281" s="3">
        <v>2</v>
      </c>
      <c r="X281" s="2" t="s">
        <v>1127</v>
      </c>
      <c r="Y281" s="18">
        <v>4</v>
      </c>
      <c r="Z281" s="18">
        <v>0</v>
      </c>
      <c r="AA281" s="18">
        <v>2</v>
      </c>
      <c r="AB281" s="18">
        <v>3</v>
      </c>
      <c r="AC281" s="18">
        <v>0</v>
      </c>
      <c r="AD281" s="18">
        <v>0</v>
      </c>
      <c r="AE281" s="18">
        <v>4</v>
      </c>
      <c r="AN281" s="3">
        <v>13</v>
      </c>
      <c r="AO281" s="3">
        <v>10</v>
      </c>
      <c r="AP281" s="3">
        <v>2</v>
      </c>
      <c r="AR281" s="2" t="s">
        <v>1128</v>
      </c>
    </row>
    <row r="282" spans="1:44" ht="12.75" customHeight="1">
      <c r="A282" s="4">
        <f>DATE(78,4,1)</f>
        <v>28581</v>
      </c>
      <c r="B282" s="2" t="s">
        <v>152</v>
      </c>
      <c r="C282" s="2" t="s">
        <v>385</v>
      </c>
      <c r="E282" s="18">
        <v>3</v>
      </c>
      <c r="F282" s="18">
        <v>0</v>
      </c>
      <c r="G282" s="18">
        <v>6</v>
      </c>
      <c r="H282" s="18">
        <v>0</v>
      </c>
      <c r="I282" s="18">
        <v>5</v>
      </c>
      <c r="T282" s="3">
        <v>14</v>
      </c>
      <c r="U282" s="3">
        <v>9</v>
      </c>
      <c r="V282" s="3">
        <v>1</v>
      </c>
      <c r="X282" s="2" t="s">
        <v>1157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N282" s="3">
        <v>0</v>
      </c>
      <c r="AO282" s="3">
        <v>0</v>
      </c>
      <c r="AP282" s="3">
        <v>6</v>
      </c>
      <c r="AR282" s="2" t="s">
        <v>265</v>
      </c>
    </row>
    <row r="283" spans="1:44" ht="12.75" customHeight="1">
      <c r="A283" s="4">
        <f>DATE(78,4,1)</f>
        <v>28581</v>
      </c>
      <c r="B283" s="2" t="s">
        <v>152</v>
      </c>
      <c r="C283" s="2" t="s">
        <v>385</v>
      </c>
      <c r="E283" s="18">
        <v>1</v>
      </c>
      <c r="F283" s="18">
        <v>0</v>
      </c>
      <c r="G283" s="18">
        <v>0</v>
      </c>
      <c r="H283" s="18">
        <v>0</v>
      </c>
      <c r="I283" s="18">
        <v>2</v>
      </c>
      <c r="J283" s="18">
        <v>1</v>
      </c>
      <c r="K283" s="18">
        <v>6</v>
      </c>
      <c r="T283" s="3">
        <v>10</v>
      </c>
      <c r="U283" s="3">
        <v>11</v>
      </c>
      <c r="V283" s="3">
        <v>3</v>
      </c>
      <c r="X283" s="2" t="s">
        <v>1158</v>
      </c>
      <c r="Y283" s="18">
        <v>0</v>
      </c>
      <c r="Z283" s="18">
        <v>0</v>
      </c>
      <c r="AA283" s="18">
        <v>0</v>
      </c>
      <c r="AB283" s="18">
        <v>0</v>
      </c>
      <c r="AC283" s="18">
        <v>1</v>
      </c>
      <c r="AD283" s="18">
        <v>0</v>
      </c>
      <c r="AE283" s="18">
        <v>0</v>
      </c>
      <c r="AN283" s="3">
        <v>1</v>
      </c>
      <c r="AO283" s="3">
        <v>4</v>
      </c>
      <c r="AP283" s="3">
        <v>1</v>
      </c>
      <c r="AR283" s="2" t="s">
        <v>266</v>
      </c>
    </row>
    <row r="284" spans="1:44" ht="12.75" customHeight="1">
      <c r="A284" s="4">
        <f>DATE(79,4,14)</f>
        <v>28959</v>
      </c>
      <c r="C284" s="2" t="s">
        <v>385</v>
      </c>
      <c r="E284" s="18">
        <v>1</v>
      </c>
      <c r="F284" s="18">
        <v>1</v>
      </c>
      <c r="G284" s="18">
        <v>0</v>
      </c>
      <c r="H284" s="18">
        <v>2</v>
      </c>
      <c r="I284" s="18">
        <v>0</v>
      </c>
      <c r="J284" s="18">
        <v>1</v>
      </c>
      <c r="K284" s="18" t="s">
        <v>162</v>
      </c>
      <c r="T284" s="3">
        <v>5</v>
      </c>
      <c r="U284" s="3">
        <v>6</v>
      </c>
      <c r="V284" s="3">
        <v>2</v>
      </c>
      <c r="X284" s="2" t="s">
        <v>1149</v>
      </c>
      <c r="Y284" s="18">
        <v>0</v>
      </c>
      <c r="Z284" s="18">
        <v>0</v>
      </c>
      <c r="AA284" s="18">
        <v>2</v>
      </c>
      <c r="AB284" s="18">
        <v>0</v>
      </c>
      <c r="AC284" s="18">
        <v>0</v>
      </c>
      <c r="AD284" s="18">
        <v>0</v>
      </c>
      <c r="AE284" s="18">
        <v>2</v>
      </c>
      <c r="AN284" s="3">
        <v>4</v>
      </c>
      <c r="AO284" s="3">
        <v>3</v>
      </c>
      <c r="AP284" s="3">
        <v>2</v>
      </c>
      <c r="AR284" s="2" t="s">
        <v>276</v>
      </c>
    </row>
    <row r="285" spans="1:44" ht="12.75" customHeight="1">
      <c r="A285" s="4">
        <f>DATE(79,4,14)</f>
        <v>28959</v>
      </c>
      <c r="C285" s="2" t="s">
        <v>385</v>
      </c>
      <c r="E285" s="18">
        <v>0</v>
      </c>
      <c r="F285" s="18">
        <v>0</v>
      </c>
      <c r="G285" s="18">
        <v>0</v>
      </c>
      <c r="H285" s="18">
        <v>1</v>
      </c>
      <c r="I285" s="18">
        <v>1</v>
      </c>
      <c r="J285" s="18">
        <v>0</v>
      </c>
      <c r="K285" s="18">
        <v>1</v>
      </c>
      <c r="T285" s="3">
        <v>3</v>
      </c>
      <c r="U285" s="3">
        <v>5</v>
      </c>
      <c r="V285" s="3">
        <v>0</v>
      </c>
      <c r="X285" s="2" t="s">
        <v>1198</v>
      </c>
      <c r="Y285" s="18">
        <v>1</v>
      </c>
      <c r="Z285" s="18">
        <v>0</v>
      </c>
      <c r="AA285" s="18">
        <v>0</v>
      </c>
      <c r="AB285" s="18">
        <v>3</v>
      </c>
      <c r="AC285" s="18">
        <v>0</v>
      </c>
      <c r="AD285" s="18">
        <v>0</v>
      </c>
      <c r="AE285" s="18">
        <v>0</v>
      </c>
      <c r="AN285" s="3">
        <v>4</v>
      </c>
      <c r="AO285" s="3">
        <v>7</v>
      </c>
      <c r="AP285" s="3">
        <v>1</v>
      </c>
      <c r="AR285" s="2" t="s">
        <v>1199</v>
      </c>
    </row>
    <row r="286" spans="1:44" ht="12.75" customHeight="1">
      <c r="A286" s="4">
        <f>DATE(82,3,30)</f>
        <v>30040</v>
      </c>
      <c r="C286" s="2" t="s">
        <v>385</v>
      </c>
      <c r="E286" s="18">
        <v>0</v>
      </c>
      <c r="F286" s="18">
        <v>0</v>
      </c>
      <c r="G286" s="18">
        <v>2</v>
      </c>
      <c r="H286" s="18">
        <v>0</v>
      </c>
      <c r="I286" s="18">
        <v>5</v>
      </c>
      <c r="J286" s="18">
        <v>1</v>
      </c>
      <c r="K286" s="18" t="s">
        <v>162</v>
      </c>
      <c r="T286" s="3">
        <v>8</v>
      </c>
      <c r="U286" s="3">
        <v>6</v>
      </c>
      <c r="V286" s="3">
        <v>3</v>
      </c>
      <c r="X286" s="2" t="s">
        <v>1339</v>
      </c>
      <c r="Y286" s="18">
        <v>0</v>
      </c>
      <c r="Z286" s="18">
        <v>3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N286" s="3">
        <v>3</v>
      </c>
      <c r="AO286" s="3">
        <v>4</v>
      </c>
      <c r="AP286" s="3">
        <v>3</v>
      </c>
      <c r="AR286" s="2" t="s">
        <v>1368</v>
      </c>
    </row>
    <row r="287" spans="1:44" ht="12.75" customHeight="1">
      <c r="A287" s="4">
        <f>DATE(83,3,26)</f>
        <v>30401</v>
      </c>
      <c r="C287" s="2" t="s">
        <v>385</v>
      </c>
      <c r="E287" s="18">
        <v>0</v>
      </c>
      <c r="F287" s="18">
        <v>1</v>
      </c>
      <c r="G287" s="18">
        <v>3</v>
      </c>
      <c r="H287" s="18">
        <v>3</v>
      </c>
      <c r="I287" s="18">
        <v>0</v>
      </c>
      <c r="J287" s="18">
        <v>1</v>
      </c>
      <c r="K287" s="18" t="s">
        <v>162</v>
      </c>
      <c r="T287" s="3">
        <v>8</v>
      </c>
      <c r="U287" s="3">
        <v>8</v>
      </c>
      <c r="V287" s="3">
        <v>4</v>
      </c>
      <c r="X287" s="2" t="s">
        <v>1334</v>
      </c>
      <c r="Y287" s="18">
        <v>0</v>
      </c>
      <c r="Z287" s="18">
        <v>0</v>
      </c>
      <c r="AA287" s="18">
        <v>0</v>
      </c>
      <c r="AB287" s="18">
        <v>0</v>
      </c>
      <c r="AC287" s="18">
        <v>1</v>
      </c>
      <c r="AD287" s="18">
        <v>0</v>
      </c>
      <c r="AE287" s="18">
        <v>1</v>
      </c>
      <c r="AN287" s="3">
        <v>2</v>
      </c>
      <c r="AO287" s="3">
        <v>2</v>
      </c>
      <c r="AP287" s="3">
        <v>2</v>
      </c>
      <c r="AR287" s="2" t="s">
        <v>307</v>
      </c>
    </row>
    <row r="288" spans="1:44" ht="12.75" customHeight="1">
      <c r="A288" s="4">
        <f>DATE(83,3,26)</f>
        <v>30401</v>
      </c>
      <c r="C288" s="2" t="s">
        <v>385</v>
      </c>
      <c r="E288" s="18">
        <v>5</v>
      </c>
      <c r="F288" s="18">
        <v>1</v>
      </c>
      <c r="G288" s="18">
        <v>1</v>
      </c>
      <c r="H288" s="18">
        <v>1</v>
      </c>
      <c r="I288" s="18">
        <v>0</v>
      </c>
      <c r="J288" s="18">
        <v>3</v>
      </c>
      <c r="K288" s="18" t="s">
        <v>162</v>
      </c>
      <c r="T288" s="3">
        <v>11</v>
      </c>
      <c r="U288" s="3">
        <v>13</v>
      </c>
      <c r="V288" s="3">
        <v>0</v>
      </c>
      <c r="X288" s="2" t="s">
        <v>1395</v>
      </c>
      <c r="Y288" s="18">
        <v>1</v>
      </c>
      <c r="Z288" s="18">
        <v>0</v>
      </c>
      <c r="AA288" s="18">
        <v>1</v>
      </c>
      <c r="AB288" s="18">
        <v>0</v>
      </c>
      <c r="AC288" s="18">
        <v>0</v>
      </c>
      <c r="AD288" s="18">
        <v>0</v>
      </c>
      <c r="AE288" s="18">
        <v>0</v>
      </c>
      <c r="AN288" s="3">
        <v>2</v>
      </c>
      <c r="AO288" s="3">
        <v>8</v>
      </c>
      <c r="AP288" s="3">
        <v>4</v>
      </c>
      <c r="AR288" s="2" t="s">
        <v>308</v>
      </c>
    </row>
    <row r="289" spans="1:44" ht="12.75" customHeight="1">
      <c r="A289" s="4">
        <f>DATE(85,4,26)</f>
        <v>31163</v>
      </c>
      <c r="C289" s="2" t="s">
        <v>385</v>
      </c>
      <c r="E289" s="18">
        <v>1</v>
      </c>
      <c r="F289" s="18">
        <v>0</v>
      </c>
      <c r="G289" s="18">
        <v>1</v>
      </c>
      <c r="H289" s="18">
        <v>2</v>
      </c>
      <c r="I289" s="18">
        <v>2</v>
      </c>
      <c r="J289" s="18">
        <v>4</v>
      </c>
      <c r="K289" s="18" t="s">
        <v>162</v>
      </c>
      <c r="T289" s="3">
        <v>10</v>
      </c>
      <c r="U289" s="3">
        <v>12</v>
      </c>
      <c r="V289" s="3">
        <v>4</v>
      </c>
      <c r="X289" s="2" t="s">
        <v>1498</v>
      </c>
      <c r="Y289" s="18">
        <v>0</v>
      </c>
      <c r="Z289" s="18">
        <v>0</v>
      </c>
      <c r="AA289" s="18">
        <v>1</v>
      </c>
      <c r="AB289" s="18">
        <v>1</v>
      </c>
      <c r="AC289" s="18">
        <v>1</v>
      </c>
      <c r="AD289" s="18">
        <v>0</v>
      </c>
      <c r="AE289" s="18">
        <v>2</v>
      </c>
      <c r="AN289" s="3">
        <v>5</v>
      </c>
      <c r="AO289" s="3">
        <v>6</v>
      </c>
      <c r="AP289" s="3">
        <v>1</v>
      </c>
      <c r="AR289" s="2" t="s">
        <v>1499</v>
      </c>
    </row>
    <row r="290" spans="1:44" ht="12.75" customHeight="1">
      <c r="A290" s="5">
        <v>40264</v>
      </c>
      <c r="B290" s="2" t="s">
        <v>152</v>
      </c>
      <c r="C290" s="2" t="s">
        <v>2221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2</v>
      </c>
      <c r="T290" s="3">
        <f>SUM(E290:S290)</f>
        <v>2</v>
      </c>
      <c r="U290" s="3">
        <v>8</v>
      </c>
      <c r="V290" s="3">
        <v>4</v>
      </c>
      <c r="X290" s="2" t="s">
        <v>759</v>
      </c>
      <c r="Y290" s="18">
        <v>0</v>
      </c>
      <c r="Z290" s="18">
        <v>1</v>
      </c>
      <c r="AA290" s="18">
        <v>1</v>
      </c>
      <c r="AB290" s="18">
        <v>4</v>
      </c>
      <c r="AC290" s="18">
        <v>0</v>
      </c>
      <c r="AD290" s="18">
        <v>0</v>
      </c>
      <c r="AE290" s="18" t="s">
        <v>162</v>
      </c>
      <c r="AN290" s="3">
        <f>SUM(Y290:AM290)</f>
        <v>6</v>
      </c>
      <c r="AO290" s="3">
        <v>5</v>
      </c>
      <c r="AP290" s="3">
        <v>1</v>
      </c>
      <c r="AR290" s="2" t="s">
        <v>758</v>
      </c>
    </row>
    <row r="291" spans="1:44" ht="12.75" customHeight="1">
      <c r="A291" s="5">
        <v>38094</v>
      </c>
      <c r="B291" s="2" t="s">
        <v>152</v>
      </c>
      <c r="C291" s="2" t="s">
        <v>2220</v>
      </c>
      <c r="E291" s="18">
        <v>3</v>
      </c>
      <c r="F291" s="18">
        <v>0</v>
      </c>
      <c r="G291" s="18">
        <v>2</v>
      </c>
      <c r="H291" s="18">
        <v>2</v>
      </c>
      <c r="I291" s="18">
        <v>6</v>
      </c>
      <c r="T291" s="3">
        <f>SUM(E291:S291)</f>
        <v>13</v>
      </c>
      <c r="U291" s="3">
        <v>10</v>
      </c>
      <c r="V291" s="3">
        <v>7</v>
      </c>
      <c r="X291" s="2" t="s">
        <v>515</v>
      </c>
      <c r="Y291" s="18">
        <v>0</v>
      </c>
      <c r="Z291" s="18">
        <v>1</v>
      </c>
      <c r="AA291" s="18">
        <v>0</v>
      </c>
      <c r="AB291" s="18">
        <v>0</v>
      </c>
      <c r="AC291" s="18">
        <v>2</v>
      </c>
      <c r="AN291" s="3">
        <f>SUM(Y291:AM291)</f>
        <v>3</v>
      </c>
      <c r="AO291" s="3">
        <v>1</v>
      </c>
      <c r="AP291" s="3">
        <v>4</v>
      </c>
      <c r="AR291" s="2" t="s">
        <v>514</v>
      </c>
    </row>
    <row r="292" spans="1:44" ht="12.75" customHeight="1">
      <c r="A292" s="5">
        <v>38094</v>
      </c>
      <c r="B292" s="2" t="s">
        <v>152</v>
      </c>
      <c r="C292" s="2" t="s">
        <v>2220</v>
      </c>
      <c r="E292" s="18">
        <v>2</v>
      </c>
      <c r="F292" s="18">
        <v>2</v>
      </c>
      <c r="G292" s="18">
        <v>0</v>
      </c>
      <c r="H292" s="18">
        <v>4</v>
      </c>
      <c r="I292" s="18">
        <v>2</v>
      </c>
      <c r="T292" s="3">
        <f>SUM(E292:S292)</f>
        <v>10</v>
      </c>
      <c r="U292" s="3">
        <v>9</v>
      </c>
      <c r="V292" s="3">
        <v>0</v>
      </c>
      <c r="X292" s="2" t="s">
        <v>1683</v>
      </c>
      <c r="Y292" s="18">
        <v>0</v>
      </c>
      <c r="Z292" s="18">
        <v>0</v>
      </c>
      <c r="AA292" s="18">
        <v>0</v>
      </c>
      <c r="AB292" s="18">
        <v>0</v>
      </c>
      <c r="AC292" s="18">
        <v>0</v>
      </c>
      <c r="AN292" s="3">
        <f>SUM(Y292:AM292)</f>
        <v>0</v>
      </c>
      <c r="AO292" s="3">
        <v>0</v>
      </c>
      <c r="AP292" s="3">
        <v>2</v>
      </c>
      <c r="AR292" s="2" t="s">
        <v>516</v>
      </c>
    </row>
    <row r="293" spans="1:44" ht="12.75" customHeight="1">
      <c r="A293" s="5">
        <f>DATE(2005,4,16)</f>
        <v>38458</v>
      </c>
      <c r="B293" s="2" t="s">
        <v>152</v>
      </c>
      <c r="C293" s="2" t="s">
        <v>2220</v>
      </c>
      <c r="E293" s="18">
        <v>1</v>
      </c>
      <c r="F293" s="18">
        <v>6</v>
      </c>
      <c r="G293" s="18">
        <v>3</v>
      </c>
      <c r="H293" s="18">
        <v>4</v>
      </c>
      <c r="I293" s="18">
        <v>0</v>
      </c>
      <c r="T293" s="3">
        <f>SUM(E293:S293)</f>
        <v>14</v>
      </c>
      <c r="U293" s="3">
        <v>14</v>
      </c>
      <c r="V293" s="3">
        <v>4</v>
      </c>
      <c r="X293" s="2" t="s">
        <v>543</v>
      </c>
      <c r="Y293" s="18">
        <v>0</v>
      </c>
      <c r="Z293" s="18">
        <v>0</v>
      </c>
      <c r="AA293" s="18">
        <v>0</v>
      </c>
      <c r="AB293" s="18">
        <v>3</v>
      </c>
      <c r="AC293" s="18">
        <v>0</v>
      </c>
      <c r="AN293" s="3">
        <f>SUM(Y293:AM293)</f>
        <v>3</v>
      </c>
      <c r="AO293" s="3">
        <v>3</v>
      </c>
      <c r="AP293" s="3">
        <v>6</v>
      </c>
      <c r="AR293" s="2" t="s">
        <v>544</v>
      </c>
    </row>
    <row r="294" spans="1:44" ht="12.75" customHeight="1">
      <c r="A294" s="5">
        <f>DATE(2005,4,16)</f>
        <v>38458</v>
      </c>
      <c r="B294" s="2" t="s">
        <v>152</v>
      </c>
      <c r="C294" s="2" t="s">
        <v>2220</v>
      </c>
      <c r="E294" s="18">
        <v>1</v>
      </c>
      <c r="F294" s="18">
        <v>2</v>
      </c>
      <c r="G294" s="18">
        <v>0</v>
      </c>
      <c r="H294" s="18">
        <v>8</v>
      </c>
      <c r="I294" s="18">
        <v>1</v>
      </c>
      <c r="T294" s="3">
        <f>SUM(E294:S294)</f>
        <v>12</v>
      </c>
      <c r="U294" s="3">
        <v>16</v>
      </c>
      <c r="V294" s="3">
        <v>0</v>
      </c>
      <c r="X294" s="2" t="s">
        <v>464</v>
      </c>
      <c r="Y294" s="18">
        <v>0</v>
      </c>
      <c r="Z294" s="18">
        <v>1</v>
      </c>
      <c r="AA294" s="18">
        <v>0</v>
      </c>
      <c r="AB294" s="18">
        <v>0</v>
      </c>
      <c r="AC294" s="18">
        <v>0</v>
      </c>
      <c r="AN294" s="3">
        <f>SUM(Y294:AM294)</f>
        <v>1</v>
      </c>
      <c r="AO294" s="3">
        <v>3</v>
      </c>
      <c r="AP294" s="3">
        <v>4</v>
      </c>
      <c r="AR294" s="2" t="s">
        <v>545</v>
      </c>
    </row>
    <row r="295" spans="1:44" ht="12.75" customHeight="1">
      <c r="A295" s="4">
        <f>DATE(80,6,9)</f>
        <v>29381</v>
      </c>
      <c r="B295" s="2" t="s">
        <v>239</v>
      </c>
      <c r="C295" s="2" t="s">
        <v>292</v>
      </c>
      <c r="D295" s="2" t="s">
        <v>260</v>
      </c>
      <c r="E295" s="18">
        <v>0</v>
      </c>
      <c r="F295" s="18">
        <v>0</v>
      </c>
      <c r="G295" s="18">
        <v>0</v>
      </c>
      <c r="H295" s="18">
        <v>0</v>
      </c>
      <c r="I295" s="18">
        <v>1</v>
      </c>
      <c r="J295" s="18">
        <v>0</v>
      </c>
      <c r="K295" s="18">
        <v>0</v>
      </c>
      <c r="T295" s="3">
        <v>1</v>
      </c>
      <c r="U295" s="3">
        <v>4</v>
      </c>
      <c r="V295" s="3">
        <v>2</v>
      </c>
      <c r="X295" s="2" t="s">
        <v>1256</v>
      </c>
      <c r="Y295" s="18">
        <v>0</v>
      </c>
      <c r="Z295" s="18">
        <v>0</v>
      </c>
      <c r="AA295" s="18">
        <v>0</v>
      </c>
      <c r="AB295" s="18">
        <v>2</v>
      </c>
      <c r="AC295" s="18">
        <v>0</v>
      </c>
      <c r="AD295" s="18">
        <v>0</v>
      </c>
      <c r="AE295" s="18">
        <v>0</v>
      </c>
      <c r="AN295" s="3">
        <v>2</v>
      </c>
      <c r="AO295" s="3">
        <v>4</v>
      </c>
      <c r="AP295" s="3">
        <v>0</v>
      </c>
      <c r="AR295" s="2" t="s">
        <v>1310</v>
      </c>
    </row>
    <row r="296" spans="1:44" ht="12.75" customHeight="1">
      <c r="A296" s="4">
        <f>DATE(79,6,14)</f>
        <v>29020</v>
      </c>
      <c r="B296" s="2" t="s">
        <v>239</v>
      </c>
      <c r="C296" s="2" t="s">
        <v>622</v>
      </c>
      <c r="D296" s="2" t="s">
        <v>260</v>
      </c>
      <c r="E296" s="18">
        <v>0</v>
      </c>
      <c r="F296" s="18">
        <v>0</v>
      </c>
      <c r="G296" s="18">
        <v>0</v>
      </c>
      <c r="H296" s="18">
        <v>1</v>
      </c>
      <c r="I296" s="18">
        <v>6</v>
      </c>
      <c r="J296" s="18">
        <v>0</v>
      </c>
      <c r="K296" s="18">
        <v>0</v>
      </c>
      <c r="T296" s="3">
        <v>7</v>
      </c>
      <c r="U296" s="3">
        <v>11</v>
      </c>
      <c r="V296" s="3">
        <v>1</v>
      </c>
      <c r="X296" s="2" t="s">
        <v>1070</v>
      </c>
      <c r="Y296" s="18">
        <v>1</v>
      </c>
      <c r="Z296" s="18">
        <v>0</v>
      </c>
      <c r="AA296" s="18">
        <v>0</v>
      </c>
      <c r="AB296" s="18">
        <v>1</v>
      </c>
      <c r="AC296" s="18">
        <v>1</v>
      </c>
      <c r="AD296" s="18">
        <v>0</v>
      </c>
      <c r="AE296" s="18">
        <v>0</v>
      </c>
      <c r="AN296" s="3">
        <v>3</v>
      </c>
      <c r="AO296" s="3">
        <v>7</v>
      </c>
      <c r="AP296" s="3">
        <v>2</v>
      </c>
      <c r="AR296" s="2" t="s">
        <v>1229</v>
      </c>
    </row>
    <row r="297" spans="1:44" ht="12.75" customHeight="1">
      <c r="A297" s="4">
        <f>DATE(92,5,14)</f>
        <v>33738</v>
      </c>
      <c r="C297" s="2" t="s">
        <v>138</v>
      </c>
      <c r="E297" s="18">
        <v>0</v>
      </c>
      <c r="F297" s="18">
        <v>8</v>
      </c>
      <c r="G297" s="18">
        <v>3</v>
      </c>
      <c r="H297" s="18">
        <v>6</v>
      </c>
      <c r="I297" s="18" t="s">
        <v>162</v>
      </c>
      <c r="T297" s="3">
        <v>17</v>
      </c>
      <c r="U297" s="3">
        <v>13</v>
      </c>
      <c r="V297" s="3">
        <v>4</v>
      </c>
      <c r="X297" s="2" t="s">
        <v>1806</v>
      </c>
      <c r="Y297" s="18">
        <v>0</v>
      </c>
      <c r="Z297" s="18">
        <v>0</v>
      </c>
      <c r="AA297" s="18">
        <v>1</v>
      </c>
      <c r="AB297" s="18">
        <v>2</v>
      </c>
      <c r="AC297" s="18">
        <v>3</v>
      </c>
      <c r="AN297" s="3">
        <f aca="true" t="shared" si="11" ref="AN297:AN320">SUM(Y297:AM297)</f>
        <v>6</v>
      </c>
      <c r="AO297" s="3">
        <v>8</v>
      </c>
      <c r="AP297" s="3">
        <v>5</v>
      </c>
      <c r="AR297" s="2" t="s">
        <v>1807</v>
      </c>
    </row>
    <row r="298" spans="1:44" ht="12.75" customHeight="1">
      <c r="A298" s="4">
        <f>DATE(92,5,21)</f>
        <v>33745</v>
      </c>
      <c r="B298" s="2" t="s">
        <v>239</v>
      </c>
      <c r="C298" s="2" t="s">
        <v>138</v>
      </c>
      <c r="D298" s="2" t="s">
        <v>258</v>
      </c>
      <c r="E298" s="18">
        <v>2</v>
      </c>
      <c r="F298" s="18">
        <v>0</v>
      </c>
      <c r="G298" s="18">
        <v>1</v>
      </c>
      <c r="H298" s="18">
        <v>0</v>
      </c>
      <c r="I298" s="18">
        <v>0</v>
      </c>
      <c r="J298" s="18">
        <v>7</v>
      </c>
      <c r="T298" s="3">
        <v>10</v>
      </c>
      <c r="U298" s="3">
        <v>13</v>
      </c>
      <c r="V298" s="3">
        <v>5</v>
      </c>
      <c r="X298" s="2" t="s">
        <v>1799</v>
      </c>
      <c r="Y298" s="18">
        <v>2</v>
      </c>
      <c r="Z298" s="18">
        <v>0</v>
      </c>
      <c r="AA298" s="18">
        <v>0</v>
      </c>
      <c r="AB298" s="18">
        <v>0</v>
      </c>
      <c r="AC298" s="18">
        <v>2</v>
      </c>
      <c r="AD298" s="18">
        <v>1</v>
      </c>
      <c r="AE298" s="18">
        <v>1</v>
      </c>
      <c r="AN298" s="3">
        <f t="shared" si="11"/>
        <v>6</v>
      </c>
      <c r="AO298" s="3">
        <v>9</v>
      </c>
      <c r="AP298" s="3">
        <v>1</v>
      </c>
      <c r="AR298" s="2" t="s">
        <v>1810</v>
      </c>
    </row>
    <row r="299" spans="1:44" ht="12.75" customHeight="1">
      <c r="A299" s="4">
        <f>DATE(93,5,20)</f>
        <v>34109</v>
      </c>
      <c r="B299" s="2" t="s">
        <v>152</v>
      </c>
      <c r="C299" s="2" t="s">
        <v>138</v>
      </c>
      <c r="E299" s="18">
        <v>2</v>
      </c>
      <c r="F299" s="18">
        <v>0</v>
      </c>
      <c r="G299" s="18">
        <v>2</v>
      </c>
      <c r="H299" s="18">
        <v>3</v>
      </c>
      <c r="I299" s="18">
        <v>3</v>
      </c>
      <c r="T299" s="3">
        <f aca="true" t="shared" si="12" ref="T299:T320">SUM(E299:S299)</f>
        <v>10</v>
      </c>
      <c r="U299" s="3">
        <v>11</v>
      </c>
      <c r="V299" s="3">
        <v>0</v>
      </c>
      <c r="X299" s="2" t="s">
        <v>1833</v>
      </c>
      <c r="Y299" s="18">
        <v>0</v>
      </c>
      <c r="Z299" s="18">
        <v>0</v>
      </c>
      <c r="AA299" s="18">
        <v>0</v>
      </c>
      <c r="AB299" s="18">
        <v>0</v>
      </c>
      <c r="AC299" s="18">
        <v>0</v>
      </c>
      <c r="AN299" s="3">
        <f t="shared" si="11"/>
        <v>0</v>
      </c>
      <c r="AO299" s="3">
        <v>2</v>
      </c>
      <c r="AP299" s="3">
        <v>2</v>
      </c>
      <c r="AR299" s="2" t="s">
        <v>1845</v>
      </c>
    </row>
    <row r="300" spans="1:44" ht="12.75" customHeight="1">
      <c r="A300" s="4">
        <f>DATE(94,5,19)</f>
        <v>34473</v>
      </c>
      <c r="C300" s="2" t="s">
        <v>138</v>
      </c>
      <c r="E300" s="18">
        <v>2</v>
      </c>
      <c r="F300" s="18">
        <v>0</v>
      </c>
      <c r="G300" s="18">
        <v>0</v>
      </c>
      <c r="H300" s="18">
        <v>0</v>
      </c>
      <c r="I300" s="18">
        <v>1</v>
      </c>
      <c r="J300" s="18">
        <v>0</v>
      </c>
      <c r="K300" s="18">
        <v>0</v>
      </c>
      <c r="L300" s="18">
        <v>1</v>
      </c>
      <c r="T300" s="3">
        <f t="shared" si="12"/>
        <v>4</v>
      </c>
      <c r="U300" s="3">
        <v>11</v>
      </c>
      <c r="V300" s="3">
        <v>2</v>
      </c>
      <c r="X300" s="2" t="s">
        <v>1875</v>
      </c>
      <c r="Y300" s="18">
        <v>0</v>
      </c>
      <c r="Z300" s="18">
        <v>0</v>
      </c>
      <c r="AA300" s="18">
        <v>0</v>
      </c>
      <c r="AB300" s="18">
        <v>3</v>
      </c>
      <c r="AC300" s="18">
        <v>0</v>
      </c>
      <c r="AD300" s="18">
        <v>0</v>
      </c>
      <c r="AE300" s="18">
        <v>0</v>
      </c>
      <c r="AF300" s="18">
        <v>0</v>
      </c>
      <c r="AN300" s="3">
        <f t="shared" si="11"/>
        <v>3</v>
      </c>
      <c r="AO300" s="3">
        <v>8</v>
      </c>
      <c r="AP300" s="3">
        <v>2</v>
      </c>
      <c r="AR300" s="2" t="s">
        <v>1876</v>
      </c>
    </row>
    <row r="301" spans="1:44" ht="12.75" customHeight="1">
      <c r="A301" s="4">
        <v>35202</v>
      </c>
      <c r="C301" s="2" t="s">
        <v>138</v>
      </c>
      <c r="D301" s="2" t="s">
        <v>258</v>
      </c>
      <c r="E301" s="18">
        <v>0</v>
      </c>
      <c r="F301" s="18">
        <v>0</v>
      </c>
      <c r="G301" s="18">
        <v>8</v>
      </c>
      <c r="H301" s="18">
        <v>2</v>
      </c>
      <c r="I301" s="18">
        <v>3</v>
      </c>
      <c r="T301" s="3">
        <f t="shared" si="12"/>
        <v>13</v>
      </c>
      <c r="U301" s="3">
        <v>11</v>
      </c>
      <c r="V301" s="3">
        <v>3</v>
      </c>
      <c r="X301" s="2" t="s">
        <v>1903</v>
      </c>
      <c r="Y301" s="18">
        <v>0</v>
      </c>
      <c r="Z301" s="18">
        <v>1</v>
      </c>
      <c r="AA301" s="18">
        <v>2</v>
      </c>
      <c r="AB301" s="18">
        <v>0</v>
      </c>
      <c r="AC301" s="18">
        <v>0</v>
      </c>
      <c r="AN301" s="3">
        <f t="shared" si="11"/>
        <v>3</v>
      </c>
      <c r="AO301" s="3">
        <v>4</v>
      </c>
      <c r="AP301" s="3">
        <v>1</v>
      </c>
      <c r="AR301" s="2" t="s">
        <v>1289</v>
      </c>
    </row>
    <row r="302" spans="1:44" ht="12.75" customHeight="1">
      <c r="A302" s="5">
        <v>37009</v>
      </c>
      <c r="C302" s="2" t="s">
        <v>138</v>
      </c>
      <c r="E302" s="18">
        <v>0</v>
      </c>
      <c r="F302" s="18">
        <v>1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T302" s="3">
        <f t="shared" si="12"/>
        <v>1</v>
      </c>
      <c r="U302" s="3">
        <v>2</v>
      </c>
      <c r="V302" s="3">
        <v>0</v>
      </c>
      <c r="X302" s="2" t="s">
        <v>20</v>
      </c>
      <c r="Y302" s="18">
        <v>1</v>
      </c>
      <c r="Z302" s="18">
        <v>0</v>
      </c>
      <c r="AA302" s="18">
        <v>0</v>
      </c>
      <c r="AB302" s="18">
        <v>1</v>
      </c>
      <c r="AC302" s="18">
        <v>0</v>
      </c>
      <c r="AD302" s="18">
        <v>0</v>
      </c>
      <c r="AE302" s="18">
        <v>0</v>
      </c>
      <c r="AN302" s="3">
        <f t="shared" si="11"/>
        <v>2</v>
      </c>
      <c r="AO302" s="3">
        <v>6</v>
      </c>
      <c r="AP302" s="3">
        <v>3</v>
      </c>
      <c r="AR302" s="2" t="s">
        <v>111</v>
      </c>
    </row>
    <row r="303" spans="1:44" ht="12.75" customHeight="1">
      <c r="A303" s="8">
        <v>37373</v>
      </c>
      <c r="C303" s="2" t="s">
        <v>138</v>
      </c>
      <c r="E303" s="18">
        <v>0</v>
      </c>
      <c r="F303" s="18">
        <v>2</v>
      </c>
      <c r="G303" s="18">
        <v>0</v>
      </c>
      <c r="H303" s="18">
        <v>3</v>
      </c>
      <c r="I303" s="18">
        <v>0</v>
      </c>
      <c r="J303" s="18">
        <v>1</v>
      </c>
      <c r="K303" s="18">
        <v>1</v>
      </c>
      <c r="T303" s="3">
        <f t="shared" si="12"/>
        <v>7</v>
      </c>
      <c r="U303" s="3">
        <v>10</v>
      </c>
      <c r="V303" s="3">
        <v>3</v>
      </c>
      <c r="X303" s="2" t="s">
        <v>97</v>
      </c>
      <c r="Y303" s="18">
        <v>0</v>
      </c>
      <c r="Z303" s="18">
        <v>0</v>
      </c>
      <c r="AA303" s="18">
        <v>0</v>
      </c>
      <c r="AB303" s="18">
        <v>1</v>
      </c>
      <c r="AC303" s="18">
        <v>0</v>
      </c>
      <c r="AD303" s="18">
        <v>4</v>
      </c>
      <c r="AE303" s="18">
        <v>0</v>
      </c>
      <c r="AN303" s="3">
        <f t="shared" si="11"/>
        <v>5</v>
      </c>
      <c r="AO303" s="3">
        <v>4</v>
      </c>
      <c r="AP303" s="3">
        <v>5</v>
      </c>
      <c r="AR303" s="2" t="s">
        <v>2377</v>
      </c>
    </row>
    <row r="304" spans="1:44" ht="12.75" customHeight="1">
      <c r="A304" s="8">
        <v>37770</v>
      </c>
      <c r="B304" s="2" t="s">
        <v>239</v>
      </c>
      <c r="C304" s="2" t="s">
        <v>138</v>
      </c>
      <c r="D304" s="2" t="s">
        <v>258</v>
      </c>
      <c r="E304" s="18">
        <v>1</v>
      </c>
      <c r="F304" s="18">
        <v>0</v>
      </c>
      <c r="G304" s="18">
        <v>2</v>
      </c>
      <c r="H304" s="18">
        <v>0</v>
      </c>
      <c r="I304" s="18">
        <v>1</v>
      </c>
      <c r="J304" s="18">
        <v>0</v>
      </c>
      <c r="K304" s="18" t="s">
        <v>162</v>
      </c>
      <c r="T304" s="3">
        <f t="shared" si="12"/>
        <v>4</v>
      </c>
      <c r="U304" s="3">
        <v>11</v>
      </c>
      <c r="V304" s="3">
        <v>1</v>
      </c>
      <c r="X304" s="2" t="s">
        <v>20</v>
      </c>
      <c r="Y304" s="18">
        <v>1</v>
      </c>
      <c r="Z304" s="18">
        <v>0</v>
      </c>
      <c r="AA304" s="18">
        <v>1</v>
      </c>
      <c r="AB304" s="18">
        <v>0</v>
      </c>
      <c r="AC304" s="18">
        <v>1</v>
      </c>
      <c r="AD304" s="18">
        <v>0</v>
      </c>
      <c r="AE304" s="18">
        <v>0</v>
      </c>
      <c r="AN304" s="3">
        <f t="shared" si="11"/>
        <v>3</v>
      </c>
      <c r="AO304" s="3">
        <v>8</v>
      </c>
      <c r="AP304" s="3">
        <v>2</v>
      </c>
      <c r="AR304" s="2" t="s">
        <v>590</v>
      </c>
    </row>
    <row r="305" spans="1:44" ht="12.75" customHeight="1">
      <c r="A305" s="5">
        <v>38111</v>
      </c>
      <c r="B305" s="2" t="s">
        <v>152</v>
      </c>
      <c r="C305" s="2" t="s">
        <v>138</v>
      </c>
      <c r="E305" s="18">
        <v>0</v>
      </c>
      <c r="F305" s="18">
        <v>2</v>
      </c>
      <c r="G305" s="18">
        <v>0</v>
      </c>
      <c r="H305" s="18">
        <v>0</v>
      </c>
      <c r="I305" s="18">
        <v>4</v>
      </c>
      <c r="J305" s="18">
        <v>4</v>
      </c>
      <c r="K305" s="18">
        <v>6</v>
      </c>
      <c r="T305" s="3">
        <f t="shared" si="12"/>
        <v>16</v>
      </c>
      <c r="U305" s="3">
        <v>16</v>
      </c>
      <c r="V305" s="3">
        <v>4</v>
      </c>
      <c r="X305" s="2" t="s">
        <v>604</v>
      </c>
      <c r="Y305" s="18">
        <v>0</v>
      </c>
      <c r="Z305" s="18">
        <v>2</v>
      </c>
      <c r="AA305" s="18">
        <v>5</v>
      </c>
      <c r="AB305" s="18">
        <v>1</v>
      </c>
      <c r="AC305" s="18">
        <v>6</v>
      </c>
      <c r="AD305" s="18">
        <v>0</v>
      </c>
      <c r="AE305" s="18">
        <v>0</v>
      </c>
      <c r="AN305" s="3">
        <f t="shared" si="11"/>
        <v>14</v>
      </c>
      <c r="AO305" s="3">
        <v>13</v>
      </c>
      <c r="AP305" s="3">
        <v>3</v>
      </c>
      <c r="AR305" s="2" t="s">
        <v>603</v>
      </c>
    </row>
    <row r="306" spans="1:44" ht="12.75" customHeight="1">
      <c r="A306" s="5">
        <f>DATE(2005,5,12)</f>
        <v>38484</v>
      </c>
      <c r="C306" s="2" t="s">
        <v>138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3</v>
      </c>
      <c r="L306" s="18">
        <v>0</v>
      </c>
      <c r="T306" s="3">
        <f t="shared" si="12"/>
        <v>3</v>
      </c>
      <c r="U306" s="3">
        <v>9</v>
      </c>
      <c r="V306" s="3">
        <v>0</v>
      </c>
      <c r="X306" s="2" t="s">
        <v>560</v>
      </c>
      <c r="Y306" s="18">
        <v>1</v>
      </c>
      <c r="Z306" s="18">
        <v>2</v>
      </c>
      <c r="AA306" s="18">
        <v>1</v>
      </c>
      <c r="AB306" s="18">
        <v>3</v>
      </c>
      <c r="AC306" s="18">
        <v>0</v>
      </c>
      <c r="AD306" s="18">
        <v>2</v>
      </c>
      <c r="AE306" s="18">
        <v>0</v>
      </c>
      <c r="AN306" s="3">
        <f t="shared" si="11"/>
        <v>9</v>
      </c>
      <c r="AO306" s="3">
        <v>14</v>
      </c>
      <c r="AP306" s="3">
        <v>2</v>
      </c>
      <c r="AR306" s="2" t="s">
        <v>561</v>
      </c>
    </row>
    <row r="307" spans="1:44" ht="12.75" customHeight="1">
      <c r="A307" s="5">
        <v>38841</v>
      </c>
      <c r="B307" s="2" t="s">
        <v>152</v>
      </c>
      <c r="C307" s="2" t="s">
        <v>138</v>
      </c>
      <c r="E307" s="18">
        <v>1</v>
      </c>
      <c r="F307" s="18">
        <v>1</v>
      </c>
      <c r="G307" s="18">
        <v>0</v>
      </c>
      <c r="H307" s="18">
        <v>0</v>
      </c>
      <c r="I307" s="18">
        <v>2</v>
      </c>
      <c r="J307" s="18">
        <v>1</v>
      </c>
      <c r="K307" s="18">
        <v>5</v>
      </c>
      <c r="T307" s="3">
        <f t="shared" si="12"/>
        <v>10</v>
      </c>
      <c r="U307" s="3">
        <v>15</v>
      </c>
      <c r="V307" s="3">
        <v>4</v>
      </c>
      <c r="X307" s="2" t="s">
        <v>461</v>
      </c>
      <c r="Y307" s="18">
        <v>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N307" s="3">
        <f t="shared" si="11"/>
        <v>0</v>
      </c>
      <c r="AO307" s="3">
        <v>4</v>
      </c>
      <c r="AP307" s="3">
        <v>1</v>
      </c>
      <c r="AR307" s="2" t="s">
        <v>303</v>
      </c>
    </row>
    <row r="308" spans="1:44" ht="12.75" customHeight="1">
      <c r="A308" s="5">
        <v>39193</v>
      </c>
      <c r="C308" s="2" t="s">
        <v>138</v>
      </c>
      <c r="E308" s="18">
        <v>2</v>
      </c>
      <c r="F308" s="18">
        <v>2</v>
      </c>
      <c r="G308" s="18">
        <v>1</v>
      </c>
      <c r="H308" s="18">
        <v>1</v>
      </c>
      <c r="I308" s="18">
        <v>3</v>
      </c>
      <c r="J308" s="18">
        <v>0</v>
      </c>
      <c r="K308" s="18" t="s">
        <v>162</v>
      </c>
      <c r="T308" s="3">
        <f t="shared" si="12"/>
        <v>9</v>
      </c>
      <c r="U308" s="3">
        <v>14</v>
      </c>
      <c r="V308" s="3">
        <v>2</v>
      </c>
      <c r="X308" s="2" t="s">
        <v>461</v>
      </c>
      <c r="Y308" s="18">
        <v>0</v>
      </c>
      <c r="Z308" s="18">
        <v>0</v>
      </c>
      <c r="AA308" s="18">
        <v>0</v>
      </c>
      <c r="AB308" s="18">
        <v>3</v>
      </c>
      <c r="AC308" s="18">
        <v>0</v>
      </c>
      <c r="AD308" s="18">
        <v>0</v>
      </c>
      <c r="AE308" s="18">
        <v>0</v>
      </c>
      <c r="AN308" s="3">
        <f t="shared" si="11"/>
        <v>3</v>
      </c>
      <c r="AO308" s="3">
        <v>5</v>
      </c>
      <c r="AP308" s="3">
        <v>0</v>
      </c>
      <c r="AR308" s="2" t="s">
        <v>490</v>
      </c>
    </row>
    <row r="309" spans="1:44" ht="12.75" customHeight="1">
      <c r="A309" s="5">
        <v>39545</v>
      </c>
      <c r="B309" s="2" t="s">
        <v>152</v>
      </c>
      <c r="C309" s="2" t="s">
        <v>138</v>
      </c>
      <c r="E309" s="18">
        <v>4</v>
      </c>
      <c r="F309" s="18">
        <v>0</v>
      </c>
      <c r="G309" s="18">
        <v>0</v>
      </c>
      <c r="H309" s="18">
        <v>0</v>
      </c>
      <c r="I309" s="18">
        <v>0</v>
      </c>
      <c r="J309" s="18">
        <v>1</v>
      </c>
      <c r="K309" s="18">
        <v>0</v>
      </c>
      <c r="T309" s="3">
        <f t="shared" si="12"/>
        <v>5</v>
      </c>
      <c r="U309" s="3">
        <v>4</v>
      </c>
      <c r="V309" s="3">
        <v>4</v>
      </c>
      <c r="X309" s="2" t="s">
        <v>978</v>
      </c>
      <c r="Y309" s="18">
        <v>4</v>
      </c>
      <c r="Z309" s="18">
        <v>2</v>
      </c>
      <c r="AA309" s="18">
        <v>1</v>
      </c>
      <c r="AB309" s="18">
        <v>2</v>
      </c>
      <c r="AC309" s="18">
        <v>1</v>
      </c>
      <c r="AD309" s="18">
        <v>0</v>
      </c>
      <c r="AE309" s="18" t="s">
        <v>162</v>
      </c>
      <c r="AN309" s="3">
        <f t="shared" si="11"/>
        <v>10</v>
      </c>
      <c r="AO309" s="3">
        <v>13</v>
      </c>
      <c r="AP309" s="3">
        <v>5</v>
      </c>
      <c r="AR309" s="2" t="s">
        <v>979</v>
      </c>
    </row>
    <row r="310" spans="1:44" ht="12.75" customHeight="1">
      <c r="A310" s="5">
        <v>39932</v>
      </c>
      <c r="B310" s="2" t="s">
        <v>152</v>
      </c>
      <c r="C310" s="2" t="s">
        <v>138</v>
      </c>
      <c r="E310" s="18">
        <v>0</v>
      </c>
      <c r="F310" s="18">
        <v>4</v>
      </c>
      <c r="G310" s="18">
        <v>2</v>
      </c>
      <c r="H310" s="18">
        <v>5</v>
      </c>
      <c r="I310" s="18">
        <v>2</v>
      </c>
      <c r="J310" s="18">
        <v>0</v>
      </c>
      <c r="K310" s="18">
        <v>1</v>
      </c>
      <c r="T310" s="3">
        <f t="shared" si="12"/>
        <v>14</v>
      </c>
      <c r="U310" s="3">
        <v>11</v>
      </c>
      <c r="V310" s="3">
        <v>2</v>
      </c>
      <c r="X310" s="2" t="s">
        <v>1775</v>
      </c>
      <c r="Y310" s="18">
        <v>4</v>
      </c>
      <c r="Z310" s="18">
        <v>2</v>
      </c>
      <c r="AA310" s="18">
        <v>0</v>
      </c>
      <c r="AB310" s="18">
        <v>0</v>
      </c>
      <c r="AC310" s="18">
        <v>6</v>
      </c>
      <c r="AD310" s="18">
        <v>1</v>
      </c>
      <c r="AE310" s="18">
        <v>0</v>
      </c>
      <c r="AN310" s="3">
        <f t="shared" si="11"/>
        <v>13</v>
      </c>
      <c r="AO310" s="3">
        <v>13</v>
      </c>
      <c r="AP310" s="3">
        <v>5</v>
      </c>
      <c r="AR310" s="2" t="s">
        <v>1776</v>
      </c>
    </row>
    <row r="311" spans="1:44" ht="12.75" customHeight="1">
      <c r="A311" s="5">
        <v>39944</v>
      </c>
      <c r="C311" s="2" t="s">
        <v>138</v>
      </c>
      <c r="E311" s="18">
        <v>1</v>
      </c>
      <c r="F311" s="18">
        <v>0</v>
      </c>
      <c r="G311" s="18">
        <v>3</v>
      </c>
      <c r="H311" s="18">
        <v>1</v>
      </c>
      <c r="I311" s="18">
        <v>2</v>
      </c>
      <c r="J311" s="18">
        <v>3</v>
      </c>
      <c r="K311" s="18" t="s">
        <v>162</v>
      </c>
      <c r="T311" s="3">
        <f t="shared" si="12"/>
        <v>10</v>
      </c>
      <c r="U311" s="3">
        <v>12</v>
      </c>
      <c r="V311" s="3">
        <v>3</v>
      </c>
      <c r="X311" s="2" t="s">
        <v>1170</v>
      </c>
      <c r="Y311" s="18">
        <v>0</v>
      </c>
      <c r="Z311" s="18">
        <v>0</v>
      </c>
      <c r="AA311" s="18">
        <v>1</v>
      </c>
      <c r="AB311" s="18">
        <v>0</v>
      </c>
      <c r="AC311" s="18">
        <v>0</v>
      </c>
      <c r="AD311" s="18">
        <v>3</v>
      </c>
      <c r="AE311" s="18">
        <v>0</v>
      </c>
      <c r="AN311" s="3">
        <f t="shared" si="11"/>
        <v>4</v>
      </c>
      <c r="AO311" s="3">
        <v>7</v>
      </c>
      <c r="AP311" s="3">
        <v>2</v>
      </c>
      <c r="AR311" s="2" t="s">
        <v>1171</v>
      </c>
    </row>
    <row r="312" spans="1:44" ht="12.75" customHeight="1">
      <c r="A312" s="5">
        <v>40303</v>
      </c>
      <c r="C312" s="2" t="s">
        <v>138</v>
      </c>
      <c r="E312" s="18">
        <v>8</v>
      </c>
      <c r="F312" s="18">
        <v>1</v>
      </c>
      <c r="G312" s="18">
        <v>3</v>
      </c>
      <c r="H312" s="18">
        <v>5</v>
      </c>
      <c r="I312" s="18" t="s">
        <v>162</v>
      </c>
      <c r="T312" s="3">
        <f t="shared" si="12"/>
        <v>17</v>
      </c>
      <c r="U312" s="3">
        <v>13</v>
      </c>
      <c r="V312" s="3">
        <v>5</v>
      </c>
      <c r="X312" s="2" t="s">
        <v>1474</v>
      </c>
      <c r="Y312" s="18">
        <v>1</v>
      </c>
      <c r="Z312" s="18">
        <v>4</v>
      </c>
      <c r="AA312" s="18">
        <v>0</v>
      </c>
      <c r="AB312" s="18">
        <v>0</v>
      </c>
      <c r="AC312" s="18">
        <v>0</v>
      </c>
      <c r="AN312" s="3">
        <f t="shared" si="11"/>
        <v>5</v>
      </c>
      <c r="AO312" s="3">
        <v>5</v>
      </c>
      <c r="AP312" s="3">
        <v>3</v>
      </c>
      <c r="AR312" s="2" t="s">
        <v>783</v>
      </c>
    </row>
    <row r="313" spans="1:44" ht="12.75" customHeight="1">
      <c r="A313" s="5">
        <v>40305</v>
      </c>
      <c r="B313" s="2" t="s">
        <v>152</v>
      </c>
      <c r="C313" s="2" t="s">
        <v>138</v>
      </c>
      <c r="E313" s="18">
        <v>1</v>
      </c>
      <c r="F313" s="18">
        <v>4</v>
      </c>
      <c r="G313" s="18">
        <v>2</v>
      </c>
      <c r="H313" s="18">
        <v>6</v>
      </c>
      <c r="I313" s="18">
        <v>3</v>
      </c>
      <c r="J313" s="18">
        <v>6</v>
      </c>
      <c r="T313" s="3">
        <f t="shared" si="12"/>
        <v>22</v>
      </c>
      <c r="U313" s="3">
        <v>15</v>
      </c>
      <c r="V313" s="3">
        <v>6</v>
      </c>
      <c r="X313" s="2" t="s">
        <v>784</v>
      </c>
      <c r="Y313" s="18">
        <v>4</v>
      </c>
      <c r="Z313" s="18">
        <v>1</v>
      </c>
      <c r="AA313" s="18">
        <v>0</v>
      </c>
      <c r="AB313" s="18">
        <v>1</v>
      </c>
      <c r="AC313" s="18">
        <v>2</v>
      </c>
      <c r="AD313" s="18">
        <v>0</v>
      </c>
      <c r="AN313" s="3">
        <f t="shared" si="11"/>
        <v>8</v>
      </c>
      <c r="AO313" s="3">
        <v>5</v>
      </c>
      <c r="AP313" s="3">
        <v>5</v>
      </c>
      <c r="AR313" s="2" t="s">
        <v>785</v>
      </c>
    </row>
    <row r="314" spans="1:44" ht="12.75" customHeight="1">
      <c r="A314" s="5">
        <v>40684</v>
      </c>
      <c r="B314" s="2" t="s">
        <v>152</v>
      </c>
      <c r="C314" s="2" t="s">
        <v>138</v>
      </c>
      <c r="E314" s="18">
        <v>3</v>
      </c>
      <c r="F314" s="18">
        <v>1</v>
      </c>
      <c r="G314" s="18">
        <v>1</v>
      </c>
      <c r="H314" s="18">
        <v>2</v>
      </c>
      <c r="I314" s="18">
        <v>0</v>
      </c>
      <c r="J314" s="18">
        <v>1</v>
      </c>
      <c r="K314" s="18">
        <v>3</v>
      </c>
      <c r="T314" s="3">
        <f t="shared" si="12"/>
        <v>11</v>
      </c>
      <c r="U314" s="3">
        <v>11</v>
      </c>
      <c r="V314" s="3">
        <v>2</v>
      </c>
      <c r="X314" s="2" t="s">
        <v>1987</v>
      </c>
      <c r="Y314" s="18">
        <v>2</v>
      </c>
      <c r="Z314" s="18">
        <v>1</v>
      </c>
      <c r="AA314" s="18">
        <v>1</v>
      </c>
      <c r="AB314" s="18">
        <v>0</v>
      </c>
      <c r="AC314" s="18">
        <v>0</v>
      </c>
      <c r="AD314" s="18">
        <v>2</v>
      </c>
      <c r="AE314" s="18">
        <v>3</v>
      </c>
      <c r="AN314" s="3">
        <f t="shared" si="11"/>
        <v>9</v>
      </c>
      <c r="AO314" s="3">
        <v>11</v>
      </c>
      <c r="AP314" s="3">
        <v>3</v>
      </c>
      <c r="AR314" s="2" t="s">
        <v>1988</v>
      </c>
    </row>
    <row r="315" spans="1:44" ht="12.75" customHeight="1">
      <c r="A315" s="5">
        <v>41030</v>
      </c>
      <c r="C315" s="2" t="s">
        <v>138</v>
      </c>
      <c r="E315" s="18">
        <v>2</v>
      </c>
      <c r="F315" s="18">
        <v>2</v>
      </c>
      <c r="G315" s="18">
        <v>3</v>
      </c>
      <c r="H315" s="18">
        <v>1</v>
      </c>
      <c r="I315" s="18">
        <v>2</v>
      </c>
      <c r="J315" s="18">
        <v>4</v>
      </c>
      <c r="T315" s="3">
        <f t="shared" si="12"/>
        <v>14</v>
      </c>
      <c r="U315" s="3">
        <v>13</v>
      </c>
      <c r="V315" s="3">
        <v>0</v>
      </c>
      <c r="X315" s="2" t="s">
        <v>2033</v>
      </c>
      <c r="Y315" s="18">
        <v>1</v>
      </c>
      <c r="Z315" s="18">
        <v>3</v>
      </c>
      <c r="AA315" s="18">
        <v>0</v>
      </c>
      <c r="AB315" s="18">
        <v>0</v>
      </c>
      <c r="AC315" s="18">
        <v>0</v>
      </c>
      <c r="AD315" s="18">
        <v>0</v>
      </c>
      <c r="AN315" s="3">
        <f t="shared" si="11"/>
        <v>4</v>
      </c>
      <c r="AO315" s="3">
        <v>11</v>
      </c>
      <c r="AP315" s="3">
        <v>1</v>
      </c>
      <c r="AR315" s="2" t="s">
        <v>2034</v>
      </c>
    </row>
    <row r="316" spans="1:44" ht="12.75" customHeight="1">
      <c r="A316" s="5">
        <v>42143</v>
      </c>
      <c r="C316" s="2" t="s">
        <v>138</v>
      </c>
      <c r="D316" s="2" t="s">
        <v>258</v>
      </c>
      <c r="E316" s="18">
        <v>0</v>
      </c>
      <c r="F316" s="18">
        <v>3</v>
      </c>
      <c r="G316" s="18">
        <v>0</v>
      </c>
      <c r="H316" s="18">
        <v>0</v>
      </c>
      <c r="I316" s="18">
        <v>1</v>
      </c>
      <c r="J316" s="18">
        <v>2</v>
      </c>
      <c r="K316" s="18">
        <v>0</v>
      </c>
      <c r="T316" s="3">
        <f t="shared" si="12"/>
        <v>6</v>
      </c>
      <c r="U316" s="3">
        <v>8</v>
      </c>
      <c r="V316" s="3">
        <v>8</v>
      </c>
      <c r="X316" s="2" t="s">
        <v>2135</v>
      </c>
      <c r="Y316" s="18">
        <v>0</v>
      </c>
      <c r="Z316" s="18">
        <v>1</v>
      </c>
      <c r="AA316" s="18">
        <v>4</v>
      </c>
      <c r="AB316" s="18">
        <v>0</v>
      </c>
      <c r="AC316" s="18">
        <v>3</v>
      </c>
      <c r="AD316" s="18">
        <v>4</v>
      </c>
      <c r="AE316" s="18">
        <v>1</v>
      </c>
      <c r="AN316" s="3">
        <f t="shared" si="11"/>
        <v>13</v>
      </c>
      <c r="AO316" s="3">
        <v>19</v>
      </c>
      <c r="AP316" s="3">
        <v>1</v>
      </c>
      <c r="AR316" s="2" t="s">
        <v>2378</v>
      </c>
    </row>
    <row r="317" spans="1:44" ht="12.75" customHeight="1">
      <c r="A317" s="5">
        <v>42514</v>
      </c>
      <c r="C317" s="2" t="s">
        <v>138</v>
      </c>
      <c r="D317" s="2" t="s">
        <v>258</v>
      </c>
      <c r="E317" s="18">
        <v>0</v>
      </c>
      <c r="F317" s="18">
        <v>1</v>
      </c>
      <c r="G317" s="18">
        <v>1</v>
      </c>
      <c r="H317" s="18">
        <v>3</v>
      </c>
      <c r="I317" s="18">
        <v>3</v>
      </c>
      <c r="J317" s="18">
        <v>1</v>
      </c>
      <c r="K317" s="18" t="s">
        <v>162</v>
      </c>
      <c r="T317" s="3">
        <f t="shared" si="12"/>
        <v>9</v>
      </c>
      <c r="U317" s="3">
        <v>11</v>
      </c>
      <c r="V317" s="3">
        <v>1</v>
      </c>
      <c r="X317" s="2" t="s">
        <v>2065</v>
      </c>
      <c r="Y317" s="18"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N317" s="3">
        <f t="shared" si="11"/>
        <v>0</v>
      </c>
      <c r="AO317" s="3">
        <v>2</v>
      </c>
      <c r="AP317" s="3">
        <v>0</v>
      </c>
      <c r="AR317" s="2" t="s">
        <v>2169</v>
      </c>
    </row>
    <row r="318" spans="1:44" ht="12.75" customHeight="1">
      <c r="A318" s="5">
        <v>42886</v>
      </c>
      <c r="B318" s="2" t="s">
        <v>239</v>
      </c>
      <c r="C318" s="2" t="s">
        <v>138</v>
      </c>
      <c r="D318" s="2" t="s">
        <v>258</v>
      </c>
      <c r="E318" s="18">
        <v>1</v>
      </c>
      <c r="F318" s="18">
        <v>0</v>
      </c>
      <c r="G318" s="18">
        <v>3</v>
      </c>
      <c r="H318" s="18">
        <v>5</v>
      </c>
      <c r="I318" s="18">
        <v>0</v>
      </c>
      <c r="J318" s="18">
        <v>3</v>
      </c>
      <c r="T318" s="3">
        <f t="shared" si="12"/>
        <v>12</v>
      </c>
      <c r="U318" s="3">
        <v>13</v>
      </c>
      <c r="V318" s="3">
        <v>2</v>
      </c>
      <c r="X318" s="2" t="s">
        <v>2171</v>
      </c>
      <c r="Y318" s="18">
        <v>1</v>
      </c>
      <c r="Z318" s="18">
        <v>0</v>
      </c>
      <c r="AA318" s="18">
        <v>0</v>
      </c>
      <c r="AB318" s="18">
        <v>1</v>
      </c>
      <c r="AC318" s="18">
        <v>0</v>
      </c>
      <c r="AD318" s="18">
        <v>0</v>
      </c>
      <c r="AN318" s="3">
        <f t="shared" si="11"/>
        <v>2</v>
      </c>
      <c r="AO318" s="3">
        <v>4</v>
      </c>
      <c r="AP318" s="3">
        <v>0</v>
      </c>
      <c r="AR318" s="2" t="s">
        <v>2379</v>
      </c>
    </row>
    <row r="319" spans="1:44" ht="12.75" customHeight="1">
      <c r="A319" s="5">
        <v>43210</v>
      </c>
      <c r="C319" s="2" t="s">
        <v>138</v>
      </c>
      <c r="E319" s="18">
        <v>3</v>
      </c>
      <c r="F319" s="18">
        <v>3</v>
      </c>
      <c r="G319" s="18">
        <v>0</v>
      </c>
      <c r="H319" s="18">
        <v>3</v>
      </c>
      <c r="I319" s="18">
        <v>1</v>
      </c>
      <c r="J319" s="18">
        <v>0</v>
      </c>
      <c r="K319" s="18" t="s">
        <v>162</v>
      </c>
      <c r="T319" s="3">
        <f t="shared" si="12"/>
        <v>10</v>
      </c>
      <c r="U319" s="3">
        <v>9</v>
      </c>
      <c r="V319" s="3">
        <v>2</v>
      </c>
      <c r="X319" s="2" t="s">
        <v>2265</v>
      </c>
      <c r="Y319" s="18">
        <v>0</v>
      </c>
      <c r="Z319" s="18">
        <v>1</v>
      </c>
      <c r="AA319" s="18">
        <v>0</v>
      </c>
      <c r="AB319" s="18">
        <v>0</v>
      </c>
      <c r="AC319" s="18">
        <v>1</v>
      </c>
      <c r="AD319" s="18">
        <v>0</v>
      </c>
      <c r="AE319" s="18">
        <v>1</v>
      </c>
      <c r="AN319" s="3">
        <f t="shared" si="11"/>
        <v>3</v>
      </c>
      <c r="AO319" s="3">
        <v>4</v>
      </c>
      <c r="AP319" s="3">
        <v>3</v>
      </c>
      <c r="AR319" s="2" t="s">
        <v>2380</v>
      </c>
    </row>
    <row r="320" spans="1:44" ht="12.75" customHeight="1">
      <c r="A320" s="5">
        <v>43593</v>
      </c>
      <c r="B320" s="2" t="s">
        <v>152</v>
      </c>
      <c r="C320" s="2" t="s">
        <v>138</v>
      </c>
      <c r="E320" s="18">
        <v>0</v>
      </c>
      <c r="F320" s="18">
        <v>1</v>
      </c>
      <c r="G320" s="18">
        <v>0</v>
      </c>
      <c r="H320" s="18">
        <v>0</v>
      </c>
      <c r="I320" s="18">
        <v>1</v>
      </c>
      <c r="J320" s="18">
        <v>0</v>
      </c>
      <c r="K320" s="18">
        <v>0</v>
      </c>
      <c r="T320" s="3">
        <f t="shared" si="12"/>
        <v>2</v>
      </c>
      <c r="U320" s="3">
        <v>3</v>
      </c>
      <c r="V320" s="3">
        <v>1</v>
      </c>
      <c r="X320" s="2" t="s">
        <v>2231</v>
      </c>
      <c r="Y320" s="18">
        <v>1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N320" s="3">
        <f t="shared" si="11"/>
        <v>1</v>
      </c>
      <c r="AO320" s="3">
        <v>7</v>
      </c>
      <c r="AP320" s="3">
        <v>4</v>
      </c>
      <c r="AR320" s="2" t="s">
        <v>2271</v>
      </c>
    </row>
    <row r="321" spans="1:44" ht="12.75">
      <c r="A321" s="5">
        <v>44695</v>
      </c>
      <c r="B321" s="2" t="s">
        <v>239</v>
      </c>
      <c r="C321" s="2" t="s">
        <v>138</v>
      </c>
      <c r="E321" s="18">
        <v>3</v>
      </c>
      <c r="F321" s="18">
        <v>0</v>
      </c>
      <c r="G321" s="18">
        <v>4</v>
      </c>
      <c r="H321" s="18">
        <v>3</v>
      </c>
      <c r="I321" s="18">
        <v>1</v>
      </c>
      <c r="T321" s="3">
        <v>11</v>
      </c>
      <c r="U321" s="3">
        <v>10</v>
      </c>
      <c r="V321" s="3">
        <v>1</v>
      </c>
      <c r="X321" s="2" t="s">
        <v>2290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N321" s="3">
        <v>0</v>
      </c>
      <c r="AO321" s="3">
        <v>3</v>
      </c>
      <c r="AP321" s="3">
        <v>2</v>
      </c>
      <c r="AR321" s="2" t="s">
        <v>2363</v>
      </c>
    </row>
    <row r="322" spans="1:44" ht="12.75" customHeight="1">
      <c r="A322" s="4">
        <f>DATE(57,5,13)</f>
        <v>20953</v>
      </c>
      <c r="C322" s="2" t="s">
        <v>231</v>
      </c>
      <c r="E322" s="18">
        <v>0</v>
      </c>
      <c r="F322" s="18">
        <v>0</v>
      </c>
      <c r="G322" s="18">
        <v>1</v>
      </c>
      <c r="H322" s="18">
        <v>2</v>
      </c>
      <c r="I322" s="18">
        <v>5</v>
      </c>
      <c r="J322" s="18">
        <v>2</v>
      </c>
      <c r="K322" s="18" t="s">
        <v>162</v>
      </c>
      <c r="T322" s="3">
        <v>10</v>
      </c>
      <c r="U322" s="3">
        <v>7</v>
      </c>
      <c r="V322" s="3">
        <v>2</v>
      </c>
      <c r="X322" s="2" t="s">
        <v>672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  <c r="AE322" s="18">
        <v>0</v>
      </c>
      <c r="AN322" s="3">
        <v>0</v>
      </c>
      <c r="AO322" s="3">
        <v>3</v>
      </c>
      <c r="AP322" s="3">
        <v>3</v>
      </c>
      <c r="AR322" s="2" t="s">
        <v>232</v>
      </c>
    </row>
    <row r="323" spans="1:44" ht="12.75" customHeight="1">
      <c r="A323" s="4">
        <f>DATE(57,5,23)</f>
        <v>20963</v>
      </c>
      <c r="B323" s="2" t="s">
        <v>152</v>
      </c>
      <c r="C323" s="2" t="s">
        <v>231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T323" s="3">
        <v>0</v>
      </c>
      <c r="U323" s="3">
        <v>2</v>
      </c>
      <c r="V323" s="3">
        <v>2</v>
      </c>
      <c r="X323" s="2" t="s">
        <v>696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3</v>
      </c>
      <c r="AE323" s="18" t="s">
        <v>162</v>
      </c>
      <c r="AN323" s="3">
        <v>3</v>
      </c>
      <c r="AO323" s="3">
        <v>3</v>
      </c>
      <c r="AP323" s="3">
        <v>0</v>
      </c>
      <c r="AR323" s="2" t="s">
        <v>697</v>
      </c>
    </row>
    <row r="324" spans="1:44" ht="12.75" customHeight="1">
      <c r="A324" s="4">
        <f>DATE(59,5,11)</f>
        <v>21681</v>
      </c>
      <c r="C324" s="2" t="s">
        <v>231</v>
      </c>
      <c r="E324" s="18">
        <v>0</v>
      </c>
      <c r="F324" s="18">
        <v>0</v>
      </c>
      <c r="G324" s="18">
        <v>0</v>
      </c>
      <c r="H324" s="18">
        <v>4</v>
      </c>
      <c r="I324" s="18">
        <v>0</v>
      </c>
      <c r="J324" s="18">
        <v>0</v>
      </c>
      <c r="K324" s="18" t="s">
        <v>162</v>
      </c>
      <c r="T324" s="3">
        <v>4</v>
      </c>
      <c r="U324" s="3">
        <v>5</v>
      </c>
      <c r="V324" s="3">
        <v>1</v>
      </c>
      <c r="X324" s="2" t="s">
        <v>724</v>
      </c>
      <c r="Y324" s="18">
        <v>0</v>
      </c>
      <c r="Z324" s="18">
        <v>1</v>
      </c>
      <c r="AA324" s="18">
        <v>0</v>
      </c>
      <c r="AB324" s="18">
        <v>0</v>
      </c>
      <c r="AC324" s="18">
        <v>0</v>
      </c>
      <c r="AD324" s="18">
        <v>0</v>
      </c>
      <c r="AE324" s="18">
        <v>0</v>
      </c>
      <c r="AN324" s="3">
        <v>1</v>
      </c>
      <c r="AO324" s="3">
        <v>4</v>
      </c>
      <c r="AP324" s="3">
        <v>0</v>
      </c>
      <c r="AR324" s="2" t="s">
        <v>725</v>
      </c>
    </row>
    <row r="325" spans="1:44" ht="12.75" customHeight="1">
      <c r="A325" s="4">
        <f>DATE(59,5,22)</f>
        <v>21692</v>
      </c>
      <c r="B325" s="2" t="s">
        <v>152</v>
      </c>
      <c r="C325" s="2" t="s">
        <v>231</v>
      </c>
      <c r="E325" s="18">
        <v>0</v>
      </c>
      <c r="F325" s="18">
        <v>1</v>
      </c>
      <c r="G325" s="18">
        <v>0</v>
      </c>
      <c r="H325" s="18">
        <v>0</v>
      </c>
      <c r="I325" s="18">
        <v>1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3">
        <v>2</v>
      </c>
      <c r="U325" s="3">
        <v>7</v>
      </c>
      <c r="V325" s="3">
        <v>1</v>
      </c>
      <c r="X325" s="2" t="s">
        <v>727</v>
      </c>
      <c r="Y325" s="18">
        <v>1</v>
      </c>
      <c r="Z325" s="18">
        <v>1</v>
      </c>
      <c r="AA325" s="18">
        <v>0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8">
        <v>0</v>
      </c>
      <c r="AM325" s="18">
        <v>1</v>
      </c>
      <c r="AN325" s="3">
        <v>3</v>
      </c>
      <c r="AO325" s="3">
        <v>11</v>
      </c>
      <c r="AP325" s="3">
        <v>0</v>
      </c>
      <c r="AR325" s="2" t="s">
        <v>728</v>
      </c>
    </row>
    <row r="326" spans="1:44" ht="12.75" customHeight="1">
      <c r="A326" s="4">
        <f>DATE(60,4,12)</f>
        <v>22018</v>
      </c>
      <c r="C326" s="2" t="s">
        <v>231</v>
      </c>
      <c r="E326" s="18">
        <v>1</v>
      </c>
      <c r="F326" s="18">
        <v>0</v>
      </c>
      <c r="G326" s="18">
        <v>1</v>
      </c>
      <c r="H326" s="18">
        <v>4</v>
      </c>
      <c r="I326" s="18">
        <v>0</v>
      </c>
      <c r="J326" s="18">
        <v>2</v>
      </c>
      <c r="K326" s="18" t="s">
        <v>162</v>
      </c>
      <c r="T326" s="3">
        <v>8</v>
      </c>
      <c r="U326" s="3">
        <v>11</v>
      </c>
      <c r="V326" s="3">
        <v>1</v>
      </c>
      <c r="X326" s="2" t="s">
        <v>729</v>
      </c>
      <c r="Y326" s="18">
        <v>0</v>
      </c>
      <c r="Z326" s="18">
        <v>0</v>
      </c>
      <c r="AA326" s="18">
        <v>0</v>
      </c>
      <c r="AB326" s="18">
        <v>2</v>
      </c>
      <c r="AC326" s="18">
        <v>0</v>
      </c>
      <c r="AD326" s="18">
        <v>0</v>
      </c>
      <c r="AE326" s="18">
        <v>1</v>
      </c>
      <c r="AN326" s="3">
        <v>3</v>
      </c>
      <c r="AO326" s="3">
        <v>2</v>
      </c>
      <c r="AP326" s="3">
        <v>1</v>
      </c>
      <c r="AR326" s="2" t="s">
        <v>730</v>
      </c>
    </row>
    <row r="327" spans="1:44" ht="12.75" customHeight="1">
      <c r="A327" s="4">
        <f>DATE(85,4,27)</f>
        <v>31164</v>
      </c>
      <c r="C327" s="2" t="s">
        <v>231</v>
      </c>
      <c r="E327" s="18">
        <v>3</v>
      </c>
      <c r="F327" s="18">
        <v>1</v>
      </c>
      <c r="G327" s="18">
        <v>2</v>
      </c>
      <c r="H327" s="18">
        <v>4</v>
      </c>
      <c r="I327" s="18">
        <v>1</v>
      </c>
      <c r="T327" s="3">
        <v>11</v>
      </c>
      <c r="U327" s="3">
        <v>13</v>
      </c>
      <c r="V327" s="3">
        <v>3</v>
      </c>
      <c r="X327" s="2" t="s">
        <v>1482</v>
      </c>
      <c r="Y327" s="18">
        <v>0</v>
      </c>
      <c r="Z327" s="18">
        <v>0</v>
      </c>
      <c r="AA327" s="18">
        <v>1</v>
      </c>
      <c r="AB327" s="18">
        <v>0</v>
      </c>
      <c r="AC327" s="18">
        <v>0</v>
      </c>
      <c r="AN327" s="3">
        <v>1</v>
      </c>
      <c r="AO327" s="3">
        <v>4</v>
      </c>
      <c r="AP327" s="3">
        <v>3</v>
      </c>
      <c r="AR327" s="2" t="s">
        <v>1500</v>
      </c>
    </row>
    <row r="328" spans="1:44" ht="12.75" customHeight="1">
      <c r="A328" s="4">
        <f>DATE(89,4,29)</f>
        <v>32627</v>
      </c>
      <c r="C328" s="2" t="s">
        <v>231</v>
      </c>
      <c r="E328" s="18">
        <v>0</v>
      </c>
      <c r="F328" s="18">
        <v>0</v>
      </c>
      <c r="G328" s="18">
        <v>4</v>
      </c>
      <c r="H328" s="18">
        <v>0</v>
      </c>
      <c r="I328" s="18">
        <v>0</v>
      </c>
      <c r="J328" s="18">
        <v>0</v>
      </c>
      <c r="K328" s="18">
        <v>0</v>
      </c>
      <c r="T328" s="3">
        <v>4</v>
      </c>
      <c r="U328" s="3">
        <v>8</v>
      </c>
      <c r="V328" s="3">
        <v>2</v>
      </c>
      <c r="X328" s="2" t="s">
        <v>1649</v>
      </c>
      <c r="Y328" s="18">
        <v>3</v>
      </c>
      <c r="Z328" s="18">
        <v>0</v>
      </c>
      <c r="AA328" s="18">
        <v>0</v>
      </c>
      <c r="AB328" s="18">
        <v>4</v>
      </c>
      <c r="AC328" s="18">
        <v>1</v>
      </c>
      <c r="AD328" s="18">
        <v>0</v>
      </c>
      <c r="AE328" s="18">
        <v>0</v>
      </c>
      <c r="AN328" s="3">
        <v>8</v>
      </c>
      <c r="AO328" s="3">
        <v>11</v>
      </c>
      <c r="AP328" s="3">
        <v>0</v>
      </c>
      <c r="AR328" s="2" t="s">
        <v>1650</v>
      </c>
    </row>
    <row r="329" spans="1:44" ht="12.75" customHeight="1">
      <c r="A329" s="20">
        <v>1948</v>
      </c>
      <c r="C329" s="2" t="s">
        <v>192</v>
      </c>
      <c r="E329" s="18">
        <v>0</v>
      </c>
      <c r="F329" s="18">
        <v>0</v>
      </c>
      <c r="G329" s="18">
        <v>0</v>
      </c>
      <c r="H329" s="18">
        <v>3</v>
      </c>
      <c r="I329" s="18">
        <v>2</v>
      </c>
      <c r="J329" s="18">
        <v>0</v>
      </c>
      <c r="K329" s="18">
        <v>0</v>
      </c>
      <c r="T329" s="3">
        <v>5</v>
      </c>
      <c r="U329" s="3">
        <v>4</v>
      </c>
      <c r="V329" s="3">
        <v>1</v>
      </c>
      <c r="X329" s="2" t="s">
        <v>1752</v>
      </c>
      <c r="Y329" s="18">
        <v>0</v>
      </c>
      <c r="Z329" s="18">
        <v>0</v>
      </c>
      <c r="AA329" s="18">
        <v>1</v>
      </c>
      <c r="AB329" s="18">
        <v>0</v>
      </c>
      <c r="AC329" s="18">
        <v>0</v>
      </c>
      <c r="AD329" s="18">
        <v>0</v>
      </c>
      <c r="AE329" s="18">
        <v>1</v>
      </c>
      <c r="AN329" s="3">
        <v>2</v>
      </c>
      <c r="AO329" s="3">
        <v>5</v>
      </c>
      <c r="AP329" s="3">
        <v>1</v>
      </c>
      <c r="AR329" s="2" t="s">
        <v>338</v>
      </c>
    </row>
    <row r="330" spans="1:44" ht="12.75" customHeight="1">
      <c r="A330" s="20">
        <v>1948</v>
      </c>
      <c r="C330" s="2" t="s">
        <v>192</v>
      </c>
      <c r="E330" s="18">
        <v>2</v>
      </c>
      <c r="F330" s="18">
        <v>0</v>
      </c>
      <c r="G330" s="18">
        <v>0</v>
      </c>
      <c r="H330" s="18">
        <v>4</v>
      </c>
      <c r="I330" s="18">
        <v>2</v>
      </c>
      <c r="J330" s="18">
        <v>1</v>
      </c>
      <c r="K330" s="18" t="s">
        <v>162</v>
      </c>
      <c r="T330" s="3">
        <v>9</v>
      </c>
      <c r="U330" s="3">
        <v>11</v>
      </c>
      <c r="V330" s="3">
        <v>4</v>
      </c>
      <c r="X330" s="2" t="s">
        <v>75</v>
      </c>
      <c r="Y330" s="18">
        <v>0</v>
      </c>
      <c r="Z330" s="18">
        <v>0</v>
      </c>
      <c r="AA330" s="18">
        <v>0</v>
      </c>
      <c r="AB330" s="18">
        <v>0</v>
      </c>
      <c r="AC330" s="18">
        <v>2</v>
      </c>
      <c r="AD330" s="18">
        <v>1</v>
      </c>
      <c r="AE330" s="18">
        <v>0</v>
      </c>
      <c r="AN330" s="3">
        <v>3</v>
      </c>
      <c r="AO330" s="3">
        <v>7</v>
      </c>
      <c r="AP330" s="3">
        <v>2</v>
      </c>
      <c r="AR330" s="2" t="s">
        <v>352</v>
      </c>
    </row>
    <row r="331" spans="1:44" ht="12.75" customHeight="1">
      <c r="A331" s="4">
        <v>18028</v>
      </c>
      <c r="C331" s="2" t="s">
        <v>192</v>
      </c>
      <c r="E331" s="18">
        <v>0</v>
      </c>
      <c r="F331" s="18">
        <v>0</v>
      </c>
      <c r="G331" s="18">
        <v>1</v>
      </c>
      <c r="H331" s="18">
        <v>3</v>
      </c>
      <c r="I331" s="18">
        <v>0</v>
      </c>
      <c r="J331" s="18">
        <v>0</v>
      </c>
      <c r="K331" s="18">
        <v>0</v>
      </c>
      <c r="T331" s="3">
        <v>4</v>
      </c>
      <c r="U331" s="3">
        <v>4</v>
      </c>
      <c r="V331" s="3">
        <v>6</v>
      </c>
      <c r="X331" s="2" t="s">
        <v>79</v>
      </c>
      <c r="Y331" s="18">
        <v>1</v>
      </c>
      <c r="Z331" s="18">
        <v>1</v>
      </c>
      <c r="AA331" s="18">
        <v>0</v>
      </c>
      <c r="AB331" s="18">
        <v>0</v>
      </c>
      <c r="AC331" s="18">
        <v>0</v>
      </c>
      <c r="AD331" s="18">
        <v>3</v>
      </c>
      <c r="AE331" s="18">
        <v>0</v>
      </c>
      <c r="AN331" s="3">
        <v>5</v>
      </c>
      <c r="AO331" s="3">
        <v>8</v>
      </c>
      <c r="AP331" s="3">
        <v>5</v>
      </c>
      <c r="AR331" s="2" t="s">
        <v>338</v>
      </c>
    </row>
    <row r="332" spans="1:44" ht="12.75" customHeight="1">
      <c r="A332" s="4">
        <f>DATE(62,5,18)</f>
        <v>22784</v>
      </c>
      <c r="B332" s="2" t="s">
        <v>152</v>
      </c>
      <c r="C332" s="2" t="s">
        <v>192</v>
      </c>
      <c r="E332" s="18">
        <v>1</v>
      </c>
      <c r="F332" s="18">
        <v>3</v>
      </c>
      <c r="G332" s="18">
        <v>0</v>
      </c>
      <c r="H332" s="18">
        <v>0</v>
      </c>
      <c r="I332" s="18">
        <v>0</v>
      </c>
      <c r="J332" s="18">
        <v>1</v>
      </c>
      <c r="K332" s="18">
        <v>0</v>
      </c>
      <c r="T332" s="3">
        <v>5</v>
      </c>
      <c r="U332" s="3">
        <v>9</v>
      </c>
      <c r="V332" s="3">
        <v>0</v>
      </c>
      <c r="X332" s="2" t="s">
        <v>803</v>
      </c>
      <c r="Y332" s="18">
        <v>0</v>
      </c>
      <c r="Z332" s="18">
        <v>0</v>
      </c>
      <c r="AA332" s="18">
        <v>1</v>
      </c>
      <c r="AB332" s="18">
        <v>1</v>
      </c>
      <c r="AC332" s="18">
        <v>4</v>
      </c>
      <c r="AD332" s="18">
        <v>0</v>
      </c>
      <c r="AE332" s="18" t="s">
        <v>162</v>
      </c>
      <c r="AN332" s="3">
        <v>6</v>
      </c>
      <c r="AO332" s="3">
        <v>9</v>
      </c>
      <c r="AP332" s="3">
        <v>3</v>
      </c>
      <c r="AR332" s="2" t="s">
        <v>804</v>
      </c>
    </row>
    <row r="333" spans="1:44" ht="12.75" customHeight="1">
      <c r="A333" s="4">
        <f>DATE(63,4,22)</f>
        <v>23123</v>
      </c>
      <c r="B333" s="2" t="s">
        <v>152</v>
      </c>
      <c r="C333" s="2" t="s">
        <v>192</v>
      </c>
      <c r="E333" s="18">
        <v>1</v>
      </c>
      <c r="F333" s="18">
        <v>0</v>
      </c>
      <c r="G333" s="18">
        <v>0</v>
      </c>
      <c r="H333" s="18">
        <v>4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T333" s="3">
        <v>5</v>
      </c>
      <c r="U333" s="3">
        <v>9</v>
      </c>
      <c r="V333" s="3">
        <v>2</v>
      </c>
      <c r="X333" s="2" t="s">
        <v>808</v>
      </c>
      <c r="Y333" s="18">
        <v>0</v>
      </c>
      <c r="Z333" s="18">
        <v>2</v>
      </c>
      <c r="AA333" s="18">
        <v>1</v>
      </c>
      <c r="AB333" s="18">
        <v>0</v>
      </c>
      <c r="AC333" s="18">
        <v>0</v>
      </c>
      <c r="AD333" s="18">
        <v>0</v>
      </c>
      <c r="AE333" s="18">
        <v>2</v>
      </c>
      <c r="AF333" s="18">
        <v>0</v>
      </c>
      <c r="AG333" s="18">
        <v>1</v>
      </c>
      <c r="AN333" s="3">
        <v>6</v>
      </c>
      <c r="AO333" s="3">
        <v>6</v>
      </c>
      <c r="AP333" s="3">
        <v>4</v>
      </c>
      <c r="AR333" s="2" t="s">
        <v>809</v>
      </c>
    </row>
    <row r="334" spans="1:44" ht="12.75" customHeight="1">
      <c r="A334" s="4">
        <f>DATE(63,5,13)</f>
        <v>23144</v>
      </c>
      <c r="C334" s="2" t="s">
        <v>192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1</v>
      </c>
      <c r="K334" s="18">
        <v>0</v>
      </c>
      <c r="L334" s="18">
        <v>1</v>
      </c>
      <c r="T334" s="3">
        <v>2</v>
      </c>
      <c r="U334" s="3">
        <v>9</v>
      </c>
      <c r="V334" s="3">
        <v>4</v>
      </c>
      <c r="X334" s="2" t="s">
        <v>822</v>
      </c>
      <c r="Y334" s="18">
        <v>0</v>
      </c>
      <c r="Z334" s="18">
        <v>0</v>
      </c>
      <c r="AA334" s="18">
        <v>0</v>
      </c>
      <c r="AB334" s="18">
        <v>0</v>
      </c>
      <c r="AC334" s="18">
        <v>0</v>
      </c>
      <c r="AD334" s="18">
        <v>1</v>
      </c>
      <c r="AE334" s="18">
        <v>0</v>
      </c>
      <c r="AF334" s="18">
        <v>0</v>
      </c>
      <c r="AN334" s="3">
        <v>1</v>
      </c>
      <c r="AO334" s="3">
        <v>3</v>
      </c>
      <c r="AP334" s="3">
        <v>0</v>
      </c>
      <c r="AR334" s="2" t="s">
        <v>823</v>
      </c>
    </row>
    <row r="335" spans="1:44" ht="12.75" customHeight="1">
      <c r="A335" s="4">
        <f>DATE(67,4,26)</f>
        <v>24588</v>
      </c>
      <c r="B335" s="2" t="s">
        <v>237</v>
      </c>
      <c r="C335" s="2" t="s">
        <v>192</v>
      </c>
      <c r="E335" s="18">
        <v>1</v>
      </c>
      <c r="F335" s="18">
        <v>0</v>
      </c>
      <c r="G335" s="18">
        <v>1</v>
      </c>
      <c r="H335" s="18">
        <v>0</v>
      </c>
      <c r="I335" s="18">
        <v>0</v>
      </c>
      <c r="J335" s="18">
        <v>1</v>
      </c>
      <c r="K335" s="18">
        <v>0</v>
      </c>
      <c r="T335" s="3">
        <v>3</v>
      </c>
      <c r="U335" s="3">
        <v>5</v>
      </c>
      <c r="V335" s="3">
        <v>3</v>
      </c>
      <c r="X335" s="2" t="s">
        <v>882</v>
      </c>
      <c r="Y335" s="18">
        <v>0</v>
      </c>
      <c r="Z335" s="18">
        <v>0</v>
      </c>
      <c r="AA335" s="18">
        <v>2</v>
      </c>
      <c r="AB335" s="18">
        <v>0</v>
      </c>
      <c r="AC335" s="18">
        <v>1</v>
      </c>
      <c r="AD335" s="18">
        <v>1</v>
      </c>
      <c r="AE335" s="18" t="s">
        <v>162</v>
      </c>
      <c r="AN335" s="3">
        <v>4</v>
      </c>
      <c r="AO335" s="3">
        <v>6</v>
      </c>
      <c r="AP335" s="3">
        <v>2</v>
      </c>
      <c r="AR335" s="2" t="s">
        <v>245</v>
      </c>
    </row>
    <row r="336" spans="1:44" ht="12.75" customHeight="1">
      <c r="A336" s="4">
        <f>DATE(67,5,23)</f>
        <v>24615</v>
      </c>
      <c r="C336" s="2" t="s">
        <v>192</v>
      </c>
      <c r="E336" s="18" t="s">
        <v>162</v>
      </c>
      <c r="F336" s="18" t="s">
        <v>162</v>
      </c>
      <c r="G336" s="18" t="s">
        <v>162</v>
      </c>
      <c r="H336" s="18" t="s">
        <v>162</v>
      </c>
      <c r="I336" s="18" t="s">
        <v>162</v>
      </c>
      <c r="J336" s="18" t="s">
        <v>162</v>
      </c>
      <c r="K336" s="18" t="s">
        <v>162</v>
      </c>
      <c r="T336" s="3">
        <v>7</v>
      </c>
      <c r="U336" s="3" t="s">
        <v>162</v>
      </c>
      <c r="V336" s="3" t="s">
        <v>162</v>
      </c>
      <c r="W336" s="3"/>
      <c r="X336" s="2" t="s">
        <v>246</v>
      </c>
      <c r="Y336" s="18" t="s">
        <v>162</v>
      </c>
      <c r="Z336" s="18" t="s">
        <v>162</v>
      </c>
      <c r="AA336" s="18" t="s">
        <v>162</v>
      </c>
      <c r="AB336" s="18" t="s">
        <v>162</v>
      </c>
      <c r="AC336" s="18" t="s">
        <v>162</v>
      </c>
      <c r="AD336" s="18" t="s">
        <v>162</v>
      </c>
      <c r="AE336" s="18" t="s">
        <v>162</v>
      </c>
      <c r="AN336" s="3">
        <v>0</v>
      </c>
      <c r="AO336" s="3" t="s">
        <v>162</v>
      </c>
      <c r="AP336" s="3" t="s">
        <v>162</v>
      </c>
      <c r="AQ336" s="3"/>
      <c r="AR336" s="2" t="s">
        <v>246</v>
      </c>
    </row>
    <row r="337" spans="1:44" ht="12.75" customHeight="1">
      <c r="A337" s="4">
        <f>DATE(68,4,23)</f>
        <v>24951</v>
      </c>
      <c r="B337" s="2" t="s">
        <v>152</v>
      </c>
      <c r="C337" s="2" t="s">
        <v>192</v>
      </c>
      <c r="E337" s="18">
        <v>0</v>
      </c>
      <c r="F337" s="18">
        <v>0</v>
      </c>
      <c r="G337" s="18">
        <v>0</v>
      </c>
      <c r="H337" s="18">
        <v>0</v>
      </c>
      <c r="I337" s="18">
        <v>2</v>
      </c>
      <c r="J337" s="18">
        <v>1</v>
      </c>
      <c r="K337" s="18">
        <v>3</v>
      </c>
      <c r="T337" s="3">
        <v>6</v>
      </c>
      <c r="U337" s="3">
        <v>7</v>
      </c>
      <c r="V337" s="3">
        <v>1</v>
      </c>
      <c r="X337" s="2" t="s">
        <v>894</v>
      </c>
      <c r="Y337" s="18">
        <v>0</v>
      </c>
      <c r="Z337" s="18">
        <v>0</v>
      </c>
      <c r="AA337" s="18">
        <v>0</v>
      </c>
      <c r="AB337" s="18">
        <v>0</v>
      </c>
      <c r="AC337" s="18">
        <v>0</v>
      </c>
      <c r="AD337" s="18">
        <v>2</v>
      </c>
      <c r="AE337" s="18">
        <v>1</v>
      </c>
      <c r="AN337" s="3">
        <v>3</v>
      </c>
      <c r="AO337" s="3">
        <v>7</v>
      </c>
      <c r="AP337" s="3">
        <v>1</v>
      </c>
      <c r="AR337" s="2" t="s">
        <v>895</v>
      </c>
    </row>
    <row r="338" spans="1:44" ht="12.75" customHeight="1">
      <c r="A338" s="4">
        <f>DATE(68,5,17)</f>
        <v>24975</v>
      </c>
      <c r="C338" s="2" t="s">
        <v>192</v>
      </c>
      <c r="E338" s="18">
        <v>0</v>
      </c>
      <c r="F338" s="18">
        <v>1</v>
      </c>
      <c r="G338" s="18">
        <v>1</v>
      </c>
      <c r="H338" s="18">
        <v>0</v>
      </c>
      <c r="I338" s="18">
        <v>1</v>
      </c>
      <c r="J338" s="18">
        <v>0</v>
      </c>
      <c r="K338" s="18" t="s">
        <v>162</v>
      </c>
      <c r="T338" s="3">
        <v>3</v>
      </c>
      <c r="U338" s="3">
        <v>6</v>
      </c>
      <c r="V338" s="3">
        <v>2</v>
      </c>
      <c r="X338" s="2" t="s">
        <v>903</v>
      </c>
      <c r="Y338" s="18">
        <v>0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  <c r="AE338" s="18">
        <v>0</v>
      </c>
      <c r="AN338" s="3">
        <v>0</v>
      </c>
      <c r="AO338" s="3">
        <v>2</v>
      </c>
      <c r="AP338" s="3">
        <v>2</v>
      </c>
      <c r="AR338" s="2" t="s">
        <v>904</v>
      </c>
    </row>
    <row r="339" spans="1:44" ht="12.75" customHeight="1">
      <c r="A339" s="4">
        <f>DATE(81,4,13)</f>
        <v>29689</v>
      </c>
      <c r="C339" s="2" t="s">
        <v>192</v>
      </c>
      <c r="E339" s="18">
        <v>1</v>
      </c>
      <c r="F339" s="18">
        <v>10</v>
      </c>
      <c r="G339" s="18">
        <v>0</v>
      </c>
      <c r="H339" s="18">
        <v>0</v>
      </c>
      <c r="I339" s="18">
        <v>0</v>
      </c>
      <c r="J339" s="18">
        <v>1</v>
      </c>
      <c r="T339" s="3">
        <v>12</v>
      </c>
      <c r="U339" s="3">
        <v>9</v>
      </c>
      <c r="V339" s="3">
        <v>1</v>
      </c>
      <c r="X339" s="2" t="s">
        <v>1329</v>
      </c>
      <c r="Y339" s="18">
        <v>0</v>
      </c>
      <c r="Z339" s="18">
        <v>0</v>
      </c>
      <c r="AA339" s="18">
        <v>0</v>
      </c>
      <c r="AB339" s="18">
        <v>2</v>
      </c>
      <c r="AC339" s="18">
        <v>0</v>
      </c>
      <c r="AD339" s="18">
        <v>0</v>
      </c>
      <c r="AN339" s="3">
        <v>2</v>
      </c>
      <c r="AO339" s="3">
        <v>5</v>
      </c>
      <c r="AP339" s="3">
        <v>2</v>
      </c>
      <c r="AR339" s="2" t="s">
        <v>1330</v>
      </c>
    </row>
    <row r="340" spans="1:44" ht="12.75" customHeight="1">
      <c r="A340" s="4">
        <f>DATE(90,5,7)</f>
        <v>33000</v>
      </c>
      <c r="C340" s="2" t="s">
        <v>192</v>
      </c>
      <c r="E340" s="18">
        <v>1</v>
      </c>
      <c r="F340" s="18">
        <v>2</v>
      </c>
      <c r="G340" s="18">
        <v>0</v>
      </c>
      <c r="H340" s="18">
        <v>13</v>
      </c>
      <c r="I340" s="18" t="s">
        <v>162</v>
      </c>
      <c r="T340" s="3">
        <v>16</v>
      </c>
      <c r="U340" s="3">
        <v>11</v>
      </c>
      <c r="V340" s="3">
        <v>1</v>
      </c>
      <c r="X340" s="2" t="s">
        <v>1703</v>
      </c>
      <c r="Y340" s="18">
        <v>0</v>
      </c>
      <c r="Z340" s="18">
        <v>0</v>
      </c>
      <c r="AA340" s="18">
        <v>2</v>
      </c>
      <c r="AB340" s="18">
        <v>0</v>
      </c>
      <c r="AC340" s="18">
        <v>0</v>
      </c>
      <c r="AN340" s="3">
        <v>2</v>
      </c>
      <c r="AO340" s="3">
        <v>3</v>
      </c>
      <c r="AP340" s="3">
        <v>5</v>
      </c>
      <c r="AR340" s="2" t="s">
        <v>1704</v>
      </c>
    </row>
    <row r="341" spans="1:44" ht="12.75" customHeight="1">
      <c r="A341" s="4">
        <f>DATE(91,5,17)</f>
        <v>33375</v>
      </c>
      <c r="B341" s="2" t="s">
        <v>152</v>
      </c>
      <c r="C341" s="2" t="s">
        <v>192</v>
      </c>
      <c r="E341" s="18">
        <v>1</v>
      </c>
      <c r="F341" s="18">
        <v>0</v>
      </c>
      <c r="G341" s="18">
        <v>0</v>
      </c>
      <c r="H341" s="18">
        <v>9</v>
      </c>
      <c r="I341" s="18">
        <v>9</v>
      </c>
      <c r="T341" s="3">
        <v>19</v>
      </c>
      <c r="U341" s="3">
        <v>15</v>
      </c>
      <c r="V341" s="3">
        <v>0</v>
      </c>
      <c r="X341" s="2" t="s">
        <v>1754</v>
      </c>
      <c r="Y341" s="18">
        <v>0</v>
      </c>
      <c r="Z341" s="18">
        <v>0</v>
      </c>
      <c r="AA341" s="18">
        <v>0</v>
      </c>
      <c r="AB341" s="18">
        <v>0</v>
      </c>
      <c r="AC341" s="18">
        <v>0</v>
      </c>
      <c r="AN341" s="3">
        <v>0</v>
      </c>
      <c r="AO341" s="3">
        <v>3</v>
      </c>
      <c r="AP341" s="3">
        <v>2</v>
      </c>
      <c r="AR341" s="2" t="s">
        <v>1755</v>
      </c>
    </row>
    <row r="342" spans="1:44" ht="12.75" customHeight="1">
      <c r="A342" s="4">
        <f>DATE(92,5,16)</f>
        <v>33740</v>
      </c>
      <c r="C342" s="2" t="s">
        <v>192</v>
      </c>
      <c r="E342" s="18">
        <v>4</v>
      </c>
      <c r="F342" s="18">
        <v>3</v>
      </c>
      <c r="G342" s="18">
        <v>1</v>
      </c>
      <c r="H342" s="18">
        <v>2</v>
      </c>
      <c r="I342" s="18">
        <v>6</v>
      </c>
      <c r="T342" s="3">
        <v>16</v>
      </c>
      <c r="U342" s="3">
        <v>8</v>
      </c>
      <c r="V342" s="3">
        <v>2</v>
      </c>
      <c r="X342" s="2" t="s">
        <v>1808</v>
      </c>
      <c r="Y342" s="18">
        <v>1</v>
      </c>
      <c r="Z342" s="18">
        <v>0</v>
      </c>
      <c r="AA342" s="18">
        <v>4</v>
      </c>
      <c r="AB342" s="18">
        <v>0</v>
      </c>
      <c r="AC342" s="18">
        <v>1</v>
      </c>
      <c r="AN342" s="3">
        <f aca="true" t="shared" si="13" ref="AN342:AN371">SUM(Y342:AM342)</f>
        <v>6</v>
      </c>
      <c r="AO342" s="3">
        <v>9</v>
      </c>
      <c r="AP342" s="3">
        <v>5</v>
      </c>
      <c r="AR342" s="2" t="s">
        <v>1809</v>
      </c>
    </row>
    <row r="343" spans="1:44" ht="12.75" customHeight="1">
      <c r="A343" s="4">
        <f>DATE(93,4,24)</f>
        <v>34083</v>
      </c>
      <c r="B343" s="2" t="s">
        <v>152</v>
      </c>
      <c r="C343" s="2" t="s">
        <v>192</v>
      </c>
      <c r="E343" s="18">
        <v>5</v>
      </c>
      <c r="F343" s="18">
        <v>0</v>
      </c>
      <c r="G343" s="18">
        <v>0</v>
      </c>
      <c r="H343" s="18">
        <v>2</v>
      </c>
      <c r="I343" s="18">
        <v>1</v>
      </c>
      <c r="J343" s="18">
        <v>0</v>
      </c>
      <c r="K343" s="18">
        <v>0</v>
      </c>
      <c r="T343" s="3">
        <f aca="true" t="shared" si="14" ref="T343:T371">SUM(E343:S343)</f>
        <v>8</v>
      </c>
      <c r="U343" s="3">
        <v>6</v>
      </c>
      <c r="V343" s="3">
        <v>3</v>
      </c>
      <c r="X343" s="2" t="s">
        <v>1824</v>
      </c>
      <c r="Y343" s="18">
        <v>0</v>
      </c>
      <c r="Z343" s="18">
        <v>0</v>
      </c>
      <c r="AA343" s="18">
        <v>2</v>
      </c>
      <c r="AB343" s="18">
        <v>1</v>
      </c>
      <c r="AC343" s="18">
        <v>0</v>
      </c>
      <c r="AD343" s="18">
        <v>1</v>
      </c>
      <c r="AE343" s="18">
        <v>0</v>
      </c>
      <c r="AN343" s="3">
        <f t="shared" si="13"/>
        <v>4</v>
      </c>
      <c r="AO343" s="3">
        <v>5</v>
      </c>
      <c r="AP343" s="3">
        <v>1</v>
      </c>
      <c r="AR343" s="2" t="s">
        <v>1825</v>
      </c>
    </row>
    <row r="344" spans="1:44" ht="12.75" customHeight="1">
      <c r="A344" s="4">
        <f>DATE(94,4,23)</f>
        <v>34447</v>
      </c>
      <c r="C344" s="2" t="s">
        <v>192</v>
      </c>
      <c r="E344" s="18">
        <v>8</v>
      </c>
      <c r="F344" s="18">
        <v>0</v>
      </c>
      <c r="G344" s="18">
        <v>0</v>
      </c>
      <c r="H344" s="18">
        <v>0</v>
      </c>
      <c r="I344" s="18">
        <v>2</v>
      </c>
      <c r="J344" s="18">
        <v>1</v>
      </c>
      <c r="K344" s="18" t="s">
        <v>162</v>
      </c>
      <c r="T344" s="3">
        <f t="shared" si="14"/>
        <v>11</v>
      </c>
      <c r="U344" s="3">
        <v>12</v>
      </c>
      <c r="V344" s="3">
        <v>6</v>
      </c>
      <c r="X344" s="2" t="s">
        <v>1840</v>
      </c>
      <c r="Y344" s="18">
        <v>2</v>
      </c>
      <c r="Z344" s="18">
        <v>3</v>
      </c>
      <c r="AA344" s="18">
        <v>1</v>
      </c>
      <c r="AB344" s="18">
        <v>0</v>
      </c>
      <c r="AC344" s="18">
        <v>0</v>
      </c>
      <c r="AD344" s="18">
        <v>0</v>
      </c>
      <c r="AE344" s="18">
        <v>0</v>
      </c>
      <c r="AN344" s="3">
        <f t="shared" si="13"/>
        <v>6</v>
      </c>
      <c r="AO344" s="3">
        <v>2</v>
      </c>
      <c r="AP344" s="3">
        <v>3</v>
      </c>
      <c r="AR344" s="2" t="s">
        <v>1861</v>
      </c>
    </row>
    <row r="345" spans="1:44" ht="12.75" customHeight="1">
      <c r="A345" s="4">
        <f>DATE(95,4,22)</f>
        <v>34811</v>
      </c>
      <c r="B345" s="2" t="s">
        <v>152</v>
      </c>
      <c r="C345" s="2" t="s">
        <v>192</v>
      </c>
      <c r="E345" s="18">
        <v>0</v>
      </c>
      <c r="F345" s="18">
        <v>0</v>
      </c>
      <c r="G345" s="18">
        <v>0</v>
      </c>
      <c r="H345" s="18">
        <v>1</v>
      </c>
      <c r="I345" s="18">
        <v>2</v>
      </c>
      <c r="J345" s="18">
        <v>2</v>
      </c>
      <c r="K345" s="18">
        <v>0</v>
      </c>
      <c r="L345" s="18">
        <v>0</v>
      </c>
      <c r="M345" s="18">
        <v>0</v>
      </c>
      <c r="T345" s="3">
        <f t="shared" si="14"/>
        <v>5</v>
      </c>
      <c r="U345" s="3">
        <v>5</v>
      </c>
      <c r="V345" s="3">
        <v>2</v>
      </c>
      <c r="X345" s="2" t="s">
        <v>1889</v>
      </c>
      <c r="Y345" s="18">
        <v>4</v>
      </c>
      <c r="Z345" s="18">
        <v>0</v>
      </c>
      <c r="AA345" s="18">
        <v>0</v>
      </c>
      <c r="AB345" s="18">
        <v>0</v>
      </c>
      <c r="AC345" s="18">
        <v>0</v>
      </c>
      <c r="AD345" s="18">
        <v>1</v>
      </c>
      <c r="AE345" s="18">
        <v>0</v>
      </c>
      <c r="AF345" s="18">
        <v>0</v>
      </c>
      <c r="AG345" s="18">
        <v>1</v>
      </c>
      <c r="AN345" s="3">
        <f t="shared" si="13"/>
        <v>6</v>
      </c>
      <c r="AO345" s="3">
        <v>7</v>
      </c>
      <c r="AP345" s="3">
        <v>1</v>
      </c>
      <c r="AR345" s="2" t="s">
        <v>1890</v>
      </c>
    </row>
    <row r="346" spans="1:44" ht="12.75" customHeight="1">
      <c r="A346" s="4">
        <v>35182</v>
      </c>
      <c r="C346" s="2" t="s">
        <v>192</v>
      </c>
      <c r="E346" s="18">
        <v>0</v>
      </c>
      <c r="F346" s="18">
        <v>0</v>
      </c>
      <c r="G346" s="18">
        <v>0</v>
      </c>
      <c r="H346" s="18">
        <v>1</v>
      </c>
      <c r="I346" s="18">
        <v>1</v>
      </c>
      <c r="J346" s="18">
        <v>0</v>
      </c>
      <c r="K346" s="18">
        <v>0</v>
      </c>
      <c r="T346" s="3">
        <f t="shared" si="14"/>
        <v>2</v>
      </c>
      <c r="U346" s="3">
        <v>1</v>
      </c>
      <c r="V346" s="3">
        <v>2</v>
      </c>
      <c r="X346" s="2" t="s">
        <v>1268</v>
      </c>
      <c r="Y346" s="18">
        <v>1</v>
      </c>
      <c r="Z346" s="18">
        <v>0</v>
      </c>
      <c r="AA346" s="18">
        <v>4</v>
      </c>
      <c r="AB346" s="18">
        <v>3</v>
      </c>
      <c r="AC346" s="18">
        <v>2</v>
      </c>
      <c r="AD346" s="18">
        <v>1</v>
      </c>
      <c r="AE346" s="18">
        <v>0</v>
      </c>
      <c r="AN346" s="3">
        <f t="shared" si="13"/>
        <v>11</v>
      </c>
      <c r="AO346" s="3">
        <v>13</v>
      </c>
      <c r="AP346" s="3">
        <v>4</v>
      </c>
      <c r="AR346" s="2" t="s">
        <v>1283</v>
      </c>
    </row>
    <row r="347" spans="1:44" ht="12.75" customHeight="1">
      <c r="A347" s="9">
        <f>DATE(1997,4,19)</f>
        <v>35539</v>
      </c>
      <c r="B347" s="2" t="s">
        <v>152</v>
      </c>
      <c r="C347" s="2" t="s">
        <v>192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1</v>
      </c>
      <c r="L347" s="18">
        <v>1</v>
      </c>
      <c r="T347" s="3">
        <f t="shared" si="14"/>
        <v>2</v>
      </c>
      <c r="U347" s="3">
        <v>6</v>
      </c>
      <c r="V347" s="3">
        <v>1</v>
      </c>
      <c r="X347" s="2" t="s">
        <v>435</v>
      </c>
      <c r="Y347" s="18">
        <v>0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1</v>
      </c>
      <c r="AF347" s="18">
        <v>2</v>
      </c>
      <c r="AN347" s="3">
        <f t="shared" si="13"/>
        <v>3</v>
      </c>
      <c r="AO347" s="3">
        <v>4</v>
      </c>
      <c r="AP347" s="3">
        <v>2</v>
      </c>
      <c r="AR347" s="2" t="s">
        <v>438</v>
      </c>
    </row>
    <row r="348" spans="1:44" ht="12.75" customHeight="1">
      <c r="A348" s="4">
        <v>35903</v>
      </c>
      <c r="C348" s="2" t="s">
        <v>192</v>
      </c>
      <c r="E348" s="18">
        <v>0</v>
      </c>
      <c r="F348" s="18">
        <v>0</v>
      </c>
      <c r="G348" s="18">
        <v>0</v>
      </c>
      <c r="H348" s="18">
        <v>1</v>
      </c>
      <c r="I348" s="18">
        <v>0</v>
      </c>
      <c r="J348" s="18">
        <v>2</v>
      </c>
      <c r="K348" s="18">
        <v>1</v>
      </c>
      <c r="T348" s="3">
        <f t="shared" si="14"/>
        <v>4</v>
      </c>
      <c r="U348" s="3">
        <v>9</v>
      </c>
      <c r="V348" s="3">
        <v>1</v>
      </c>
      <c r="X348" s="2" t="s">
        <v>605</v>
      </c>
      <c r="Y348" s="18">
        <v>0</v>
      </c>
      <c r="Z348" s="18">
        <v>0</v>
      </c>
      <c r="AA348" s="18">
        <v>0</v>
      </c>
      <c r="AB348" s="18">
        <v>1</v>
      </c>
      <c r="AC348" s="18">
        <v>6</v>
      </c>
      <c r="AD348" s="18">
        <v>0</v>
      </c>
      <c r="AE348" s="18">
        <v>0</v>
      </c>
      <c r="AN348" s="3">
        <f t="shared" si="13"/>
        <v>7</v>
      </c>
      <c r="AO348" s="3">
        <v>10</v>
      </c>
      <c r="AP348" s="3">
        <v>4</v>
      </c>
      <c r="AR348" s="2" t="s">
        <v>2002</v>
      </c>
    </row>
    <row r="349" spans="1:44" ht="12.75" customHeight="1">
      <c r="A349" s="5">
        <v>36298</v>
      </c>
      <c r="B349" s="2" t="s">
        <v>152</v>
      </c>
      <c r="C349" s="2" t="s">
        <v>192</v>
      </c>
      <c r="E349" s="18">
        <v>0</v>
      </c>
      <c r="F349" s="18">
        <v>0</v>
      </c>
      <c r="G349" s="18">
        <v>2</v>
      </c>
      <c r="H349" s="18">
        <v>1</v>
      </c>
      <c r="I349" s="18">
        <v>0</v>
      </c>
      <c r="J349" s="18">
        <v>1</v>
      </c>
      <c r="K349" s="18">
        <v>1</v>
      </c>
      <c r="T349" s="3">
        <f t="shared" si="14"/>
        <v>5</v>
      </c>
      <c r="U349" s="3">
        <v>5</v>
      </c>
      <c r="V349" s="3">
        <v>3</v>
      </c>
      <c r="X349" s="2" t="s">
        <v>629</v>
      </c>
      <c r="Y349" s="18">
        <v>0</v>
      </c>
      <c r="Z349" s="18">
        <v>1</v>
      </c>
      <c r="AA349" s="18">
        <v>4</v>
      </c>
      <c r="AB349" s="18">
        <v>1</v>
      </c>
      <c r="AC349" s="18">
        <v>0</v>
      </c>
      <c r="AD349" s="18">
        <v>3</v>
      </c>
      <c r="AE349" s="18" t="s">
        <v>162</v>
      </c>
      <c r="AN349" s="3">
        <f t="shared" si="13"/>
        <v>9</v>
      </c>
      <c r="AO349" s="3">
        <v>12</v>
      </c>
      <c r="AP349" s="3">
        <v>3</v>
      </c>
      <c r="AR349" s="2" t="s">
        <v>630</v>
      </c>
    </row>
    <row r="350" spans="1:44" ht="12.75" customHeight="1">
      <c r="A350" s="4">
        <v>36663</v>
      </c>
      <c r="C350" s="2" t="s">
        <v>192</v>
      </c>
      <c r="E350" s="18">
        <v>1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 t="s">
        <v>162</v>
      </c>
      <c r="T350" s="3">
        <f t="shared" si="14"/>
        <v>1</v>
      </c>
      <c r="U350" s="3">
        <v>3</v>
      </c>
      <c r="V350" s="3">
        <v>2</v>
      </c>
      <c r="X350" s="2" t="s">
        <v>20</v>
      </c>
      <c r="Y350" s="18"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  <c r="AE350" s="18">
        <v>0</v>
      </c>
      <c r="AN350" s="3">
        <f t="shared" si="13"/>
        <v>0</v>
      </c>
      <c r="AO350" s="3">
        <v>1</v>
      </c>
      <c r="AP350" s="3">
        <v>1</v>
      </c>
      <c r="AR350" s="2" t="s">
        <v>91</v>
      </c>
    </row>
    <row r="351" spans="1:44" ht="12.75" customHeight="1">
      <c r="A351" s="5">
        <v>37030</v>
      </c>
      <c r="B351" s="2" t="s">
        <v>152</v>
      </c>
      <c r="C351" s="2" t="s">
        <v>192</v>
      </c>
      <c r="E351" s="18">
        <v>3</v>
      </c>
      <c r="F351" s="18">
        <v>1</v>
      </c>
      <c r="G351" s="18">
        <v>1</v>
      </c>
      <c r="H351" s="18">
        <v>3</v>
      </c>
      <c r="I351" s="18">
        <v>3</v>
      </c>
      <c r="J351" s="18">
        <v>0</v>
      </c>
      <c r="K351" s="18">
        <v>2</v>
      </c>
      <c r="T351" s="3">
        <f t="shared" si="14"/>
        <v>13</v>
      </c>
      <c r="U351" s="3">
        <v>13</v>
      </c>
      <c r="V351" s="3">
        <v>2</v>
      </c>
      <c r="X351" s="2" t="s">
        <v>120</v>
      </c>
      <c r="Y351" s="18">
        <v>0</v>
      </c>
      <c r="Z351" s="18">
        <v>0</v>
      </c>
      <c r="AA351" s="18">
        <v>0</v>
      </c>
      <c r="AB351" s="18">
        <v>2</v>
      </c>
      <c r="AC351" s="18">
        <v>0</v>
      </c>
      <c r="AD351" s="18">
        <v>0</v>
      </c>
      <c r="AE351" s="18">
        <v>9</v>
      </c>
      <c r="AN351" s="3">
        <f t="shared" si="13"/>
        <v>11</v>
      </c>
      <c r="AO351" s="3">
        <v>9</v>
      </c>
      <c r="AP351" s="3">
        <v>5</v>
      </c>
      <c r="AR351" s="2" t="s">
        <v>121</v>
      </c>
    </row>
    <row r="352" spans="1:44" ht="12.75" customHeight="1">
      <c r="A352" s="8">
        <v>37366</v>
      </c>
      <c r="C352" s="2" t="s">
        <v>192</v>
      </c>
      <c r="E352" s="18">
        <v>0</v>
      </c>
      <c r="F352" s="18">
        <v>0</v>
      </c>
      <c r="G352" s="18">
        <v>0</v>
      </c>
      <c r="H352" s="18">
        <v>2</v>
      </c>
      <c r="I352" s="18">
        <v>3</v>
      </c>
      <c r="J352" s="18">
        <v>0</v>
      </c>
      <c r="K352" s="18">
        <v>1</v>
      </c>
      <c r="T352" s="3">
        <f t="shared" si="14"/>
        <v>6</v>
      </c>
      <c r="U352" s="3">
        <v>10</v>
      </c>
      <c r="V352" s="3">
        <v>2</v>
      </c>
      <c r="X352" s="2" t="s">
        <v>1109</v>
      </c>
      <c r="Y352" s="18">
        <v>0</v>
      </c>
      <c r="Z352" s="18">
        <v>0</v>
      </c>
      <c r="AA352" s="18">
        <v>0</v>
      </c>
      <c r="AB352" s="18">
        <v>0</v>
      </c>
      <c r="AC352" s="18">
        <v>1</v>
      </c>
      <c r="AD352" s="18">
        <v>0</v>
      </c>
      <c r="AE352" s="18">
        <v>4</v>
      </c>
      <c r="AN352" s="3">
        <f t="shared" si="13"/>
        <v>5</v>
      </c>
      <c r="AO352" s="3">
        <v>11</v>
      </c>
      <c r="AP352" s="3">
        <v>1</v>
      </c>
      <c r="AR352" s="2" t="s">
        <v>2391</v>
      </c>
    </row>
    <row r="353" spans="1:44" ht="12.75" customHeight="1">
      <c r="A353" s="8">
        <v>37730</v>
      </c>
      <c r="B353" s="2" t="s">
        <v>152</v>
      </c>
      <c r="C353" s="2" t="s">
        <v>192</v>
      </c>
      <c r="E353" s="18">
        <v>2</v>
      </c>
      <c r="F353" s="18">
        <v>3</v>
      </c>
      <c r="G353" s="18">
        <v>0</v>
      </c>
      <c r="H353" s="18">
        <v>0</v>
      </c>
      <c r="I353" s="18">
        <v>1</v>
      </c>
      <c r="J353" s="18">
        <v>1</v>
      </c>
      <c r="K353" s="18">
        <v>3</v>
      </c>
      <c r="T353" s="3">
        <f t="shared" si="14"/>
        <v>10</v>
      </c>
      <c r="U353" s="3">
        <v>9</v>
      </c>
      <c r="V353" s="3">
        <v>0</v>
      </c>
      <c r="X353" s="2" t="s">
        <v>570</v>
      </c>
      <c r="Y353" s="18">
        <v>1</v>
      </c>
      <c r="Z353" s="18">
        <v>0</v>
      </c>
      <c r="AA353" s="18">
        <v>0</v>
      </c>
      <c r="AB353" s="18">
        <v>1</v>
      </c>
      <c r="AC353" s="18">
        <v>0</v>
      </c>
      <c r="AD353" s="18">
        <v>0</v>
      </c>
      <c r="AE353" s="18">
        <v>0</v>
      </c>
      <c r="AN353" s="3">
        <f t="shared" si="13"/>
        <v>2</v>
      </c>
      <c r="AO353" s="3">
        <v>3</v>
      </c>
      <c r="AP353" s="3">
        <v>3</v>
      </c>
      <c r="AR353" s="2" t="s">
        <v>575</v>
      </c>
    </row>
    <row r="354" spans="1:44" ht="12.75" customHeight="1">
      <c r="A354" s="5">
        <v>38101</v>
      </c>
      <c r="C354" s="2" t="s">
        <v>192</v>
      </c>
      <c r="E354" s="18">
        <v>0</v>
      </c>
      <c r="F354" s="18">
        <v>1</v>
      </c>
      <c r="G354" s="18">
        <v>1</v>
      </c>
      <c r="H354" s="18">
        <v>5</v>
      </c>
      <c r="I354" s="18">
        <v>0</v>
      </c>
      <c r="J354" s="18">
        <v>1</v>
      </c>
      <c r="K354" s="18" t="s">
        <v>162</v>
      </c>
      <c r="T354" s="3">
        <f t="shared" si="14"/>
        <v>8</v>
      </c>
      <c r="U354" s="3">
        <v>13</v>
      </c>
      <c r="V354" s="3">
        <v>0</v>
      </c>
      <c r="X354" s="2" t="s">
        <v>570</v>
      </c>
      <c r="Y354" s="18">
        <v>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  <c r="AE354" s="18">
        <v>0</v>
      </c>
      <c r="AN354" s="3">
        <f t="shared" si="13"/>
        <v>0</v>
      </c>
      <c r="AO354" s="3">
        <v>4</v>
      </c>
      <c r="AP354" s="3">
        <v>2</v>
      </c>
      <c r="AR354" s="2" t="s">
        <v>521</v>
      </c>
    </row>
    <row r="355" spans="1:44" ht="12.75" customHeight="1">
      <c r="A355" s="5">
        <f>DATE(2005,5,7)</f>
        <v>38479</v>
      </c>
      <c r="B355" s="2" t="s">
        <v>152</v>
      </c>
      <c r="C355" s="2" t="s">
        <v>192</v>
      </c>
      <c r="E355" s="18">
        <v>5</v>
      </c>
      <c r="F355" s="18">
        <v>1</v>
      </c>
      <c r="G355" s="18">
        <v>0</v>
      </c>
      <c r="H355" s="18">
        <v>0</v>
      </c>
      <c r="I355" s="18">
        <v>2</v>
      </c>
      <c r="J355" s="18">
        <v>1</v>
      </c>
      <c r="K355" s="18">
        <v>0</v>
      </c>
      <c r="T355" s="3">
        <f t="shared" si="14"/>
        <v>9</v>
      </c>
      <c r="U355" s="3">
        <v>9</v>
      </c>
      <c r="V355" s="3">
        <v>3</v>
      </c>
      <c r="X355" s="2" t="s">
        <v>478</v>
      </c>
      <c r="Y355" s="18">
        <v>0</v>
      </c>
      <c r="Z355" s="18">
        <v>2</v>
      </c>
      <c r="AA355" s="18">
        <v>0</v>
      </c>
      <c r="AB355" s="18">
        <v>2</v>
      </c>
      <c r="AC355" s="18">
        <v>4</v>
      </c>
      <c r="AD355" s="18">
        <v>2</v>
      </c>
      <c r="AE355" s="18" t="s">
        <v>162</v>
      </c>
      <c r="AN355" s="3">
        <f t="shared" si="13"/>
        <v>10</v>
      </c>
      <c r="AO355" s="3">
        <v>10</v>
      </c>
      <c r="AP355" s="3">
        <v>3</v>
      </c>
      <c r="AR355" s="2" t="s">
        <v>2370</v>
      </c>
    </row>
    <row r="356" spans="1:44" ht="12.75" customHeight="1">
      <c r="A356" s="5">
        <v>38808</v>
      </c>
      <c r="C356" s="2" t="s">
        <v>192</v>
      </c>
      <c r="E356" s="18">
        <v>1</v>
      </c>
      <c r="F356" s="18">
        <v>3</v>
      </c>
      <c r="G356" s="18">
        <v>2</v>
      </c>
      <c r="H356" s="18">
        <v>4</v>
      </c>
      <c r="I356" s="18" t="s">
        <v>162</v>
      </c>
      <c r="T356" s="3">
        <f t="shared" si="14"/>
        <v>10</v>
      </c>
      <c r="U356" s="3">
        <v>10</v>
      </c>
      <c r="V356" s="3">
        <v>1</v>
      </c>
      <c r="X356" s="2" t="s">
        <v>209</v>
      </c>
      <c r="Y356" s="18">
        <v>0</v>
      </c>
      <c r="Z356" s="18">
        <v>0</v>
      </c>
      <c r="AA356" s="18">
        <v>0</v>
      </c>
      <c r="AB356" s="18">
        <v>0</v>
      </c>
      <c r="AC356" s="18">
        <v>0</v>
      </c>
      <c r="AN356" s="3">
        <f t="shared" si="13"/>
        <v>0</v>
      </c>
      <c r="AO356" s="3">
        <v>3</v>
      </c>
      <c r="AP356" s="3">
        <v>1</v>
      </c>
      <c r="AR356" s="2" t="s">
        <v>2371</v>
      </c>
    </row>
    <row r="357" spans="1:44" ht="12.75" customHeight="1">
      <c r="A357" s="5">
        <v>39202</v>
      </c>
      <c r="B357" s="2" t="s">
        <v>152</v>
      </c>
      <c r="C357" s="2" t="s">
        <v>192</v>
      </c>
      <c r="E357" s="18">
        <v>0</v>
      </c>
      <c r="F357" s="18">
        <v>0</v>
      </c>
      <c r="G357" s="18">
        <v>3</v>
      </c>
      <c r="H357" s="18">
        <v>3</v>
      </c>
      <c r="I357" s="18">
        <v>0</v>
      </c>
      <c r="J357" s="18">
        <v>3</v>
      </c>
      <c r="K357" s="18">
        <v>0</v>
      </c>
      <c r="T357" s="3">
        <f t="shared" si="14"/>
        <v>9</v>
      </c>
      <c r="U357" s="3">
        <v>13</v>
      </c>
      <c r="V357" s="3">
        <v>0</v>
      </c>
      <c r="X357" s="2" t="s">
        <v>472</v>
      </c>
      <c r="Y357" s="18">
        <v>0</v>
      </c>
      <c r="Z357" s="18">
        <v>0</v>
      </c>
      <c r="AA357" s="18">
        <v>5</v>
      </c>
      <c r="AB357" s="18">
        <v>1</v>
      </c>
      <c r="AC357" s="18">
        <v>1</v>
      </c>
      <c r="AD357" s="18">
        <v>0</v>
      </c>
      <c r="AE357" s="18">
        <v>0</v>
      </c>
      <c r="AN357" s="3">
        <f t="shared" si="13"/>
        <v>7</v>
      </c>
      <c r="AO357" s="3">
        <v>12</v>
      </c>
      <c r="AP357" s="3">
        <v>3</v>
      </c>
      <c r="AR357" s="2" t="s">
        <v>487</v>
      </c>
    </row>
    <row r="358" spans="1:44" ht="12.75" customHeight="1">
      <c r="A358" s="5">
        <v>39550</v>
      </c>
      <c r="C358" s="2" t="s">
        <v>192</v>
      </c>
      <c r="E358" s="18">
        <v>1</v>
      </c>
      <c r="F358" s="18">
        <v>1</v>
      </c>
      <c r="G358" s="18">
        <v>1</v>
      </c>
      <c r="H358" s="18">
        <v>2</v>
      </c>
      <c r="I358" s="18">
        <v>0</v>
      </c>
      <c r="J358" s="18">
        <v>2</v>
      </c>
      <c r="K358" s="18">
        <v>0</v>
      </c>
      <c r="T358" s="3">
        <f t="shared" si="14"/>
        <v>7</v>
      </c>
      <c r="U358" s="3">
        <v>10</v>
      </c>
      <c r="V358" s="3">
        <v>1</v>
      </c>
      <c r="X358" s="2" t="s">
        <v>442</v>
      </c>
      <c r="Y358" s="18">
        <v>2</v>
      </c>
      <c r="Z358" s="18">
        <v>0</v>
      </c>
      <c r="AA358" s="18">
        <v>3</v>
      </c>
      <c r="AB358" s="18">
        <v>2</v>
      </c>
      <c r="AC358" s="18">
        <v>0</v>
      </c>
      <c r="AD358" s="18">
        <v>3</v>
      </c>
      <c r="AE358" s="18">
        <v>0</v>
      </c>
      <c r="AN358" s="3">
        <f t="shared" si="13"/>
        <v>10</v>
      </c>
      <c r="AO358" s="3">
        <v>12</v>
      </c>
      <c r="AP358" s="3">
        <v>2</v>
      </c>
      <c r="AR358" s="2" t="s">
        <v>443</v>
      </c>
    </row>
    <row r="359" spans="1:44" ht="12.75" customHeight="1">
      <c r="A359" s="5">
        <v>39938</v>
      </c>
      <c r="C359" s="2" t="s">
        <v>192</v>
      </c>
      <c r="E359" s="18">
        <v>0</v>
      </c>
      <c r="F359" s="18">
        <v>2</v>
      </c>
      <c r="G359" s="18">
        <v>0</v>
      </c>
      <c r="H359" s="18">
        <v>0</v>
      </c>
      <c r="I359" s="18">
        <v>1</v>
      </c>
      <c r="J359" s="18">
        <v>0</v>
      </c>
      <c r="K359" s="18" t="s">
        <v>162</v>
      </c>
      <c r="T359" s="3">
        <f t="shared" si="14"/>
        <v>3</v>
      </c>
      <c r="U359" s="3">
        <v>5</v>
      </c>
      <c r="V359" s="3">
        <v>0</v>
      </c>
      <c r="X359" s="2" t="s">
        <v>1763</v>
      </c>
      <c r="Y359" s="18">
        <v>0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  <c r="AE359" s="18">
        <v>0</v>
      </c>
      <c r="AN359" s="3">
        <f t="shared" si="13"/>
        <v>0</v>
      </c>
      <c r="AO359" s="3">
        <v>3</v>
      </c>
      <c r="AP359" s="3">
        <v>1</v>
      </c>
      <c r="AR359" s="2" t="s">
        <v>1764</v>
      </c>
    </row>
    <row r="360" spans="1:44" ht="12.75" customHeight="1">
      <c r="A360" s="5">
        <v>39946</v>
      </c>
      <c r="B360" s="2" t="s">
        <v>152</v>
      </c>
      <c r="C360" s="2" t="s">
        <v>192</v>
      </c>
      <c r="E360" s="18">
        <v>1</v>
      </c>
      <c r="F360" s="18">
        <v>2</v>
      </c>
      <c r="G360" s="18">
        <v>0</v>
      </c>
      <c r="H360" s="18">
        <v>5</v>
      </c>
      <c r="I360" s="18">
        <v>1</v>
      </c>
      <c r="J360" s="18">
        <v>0</v>
      </c>
      <c r="K360" s="18">
        <v>2</v>
      </c>
      <c r="T360" s="3">
        <f t="shared" si="14"/>
        <v>11</v>
      </c>
      <c r="U360" s="3">
        <v>13</v>
      </c>
      <c r="V360" s="3">
        <v>0</v>
      </c>
      <c r="X360" s="2" t="s">
        <v>863</v>
      </c>
      <c r="Y360" s="18">
        <v>0</v>
      </c>
      <c r="Z360" s="18">
        <v>0</v>
      </c>
      <c r="AA360" s="18">
        <v>0</v>
      </c>
      <c r="AB360" s="18">
        <v>1</v>
      </c>
      <c r="AC360" s="18">
        <v>0</v>
      </c>
      <c r="AD360" s="18">
        <v>0</v>
      </c>
      <c r="AE360" s="18">
        <v>0</v>
      </c>
      <c r="AN360" s="3">
        <f t="shared" si="13"/>
        <v>1</v>
      </c>
      <c r="AO360" s="3">
        <v>3</v>
      </c>
      <c r="AP360" s="3">
        <v>3</v>
      </c>
      <c r="AR360" s="2" t="s">
        <v>864</v>
      </c>
    </row>
    <row r="361" spans="1:44" ht="12.75" customHeight="1">
      <c r="A361" s="5">
        <v>40296</v>
      </c>
      <c r="B361" s="2" t="s">
        <v>152</v>
      </c>
      <c r="C361" s="2" t="s">
        <v>192</v>
      </c>
      <c r="E361" s="18">
        <v>0</v>
      </c>
      <c r="F361" s="18">
        <v>2</v>
      </c>
      <c r="G361" s="18">
        <v>0</v>
      </c>
      <c r="H361" s="18">
        <v>0</v>
      </c>
      <c r="I361" s="18">
        <v>1</v>
      </c>
      <c r="J361" s="18">
        <v>3</v>
      </c>
      <c r="K361" s="18">
        <v>4</v>
      </c>
      <c r="T361" s="3">
        <f t="shared" si="14"/>
        <v>10</v>
      </c>
      <c r="U361" s="3">
        <v>14</v>
      </c>
      <c r="V361" s="3">
        <v>1</v>
      </c>
      <c r="X361" s="2" t="s">
        <v>780</v>
      </c>
      <c r="Y361" s="18">
        <v>1</v>
      </c>
      <c r="Z361" s="18">
        <v>0</v>
      </c>
      <c r="AA361" s="18">
        <v>0</v>
      </c>
      <c r="AB361" s="18">
        <v>0</v>
      </c>
      <c r="AC361" s="18">
        <v>2</v>
      </c>
      <c r="AD361" s="18">
        <v>0</v>
      </c>
      <c r="AE361" s="18">
        <v>1</v>
      </c>
      <c r="AN361" s="3">
        <f t="shared" si="13"/>
        <v>4</v>
      </c>
      <c r="AO361" s="3">
        <v>9</v>
      </c>
      <c r="AP361" s="3">
        <v>4</v>
      </c>
      <c r="AR361" s="2" t="s">
        <v>781</v>
      </c>
    </row>
    <row r="362" spans="1:44" ht="12.75" customHeight="1">
      <c r="A362" s="5">
        <v>40317</v>
      </c>
      <c r="C362" s="2" t="s">
        <v>192</v>
      </c>
      <c r="E362" s="18">
        <v>3</v>
      </c>
      <c r="F362" s="18">
        <v>0</v>
      </c>
      <c r="G362" s="18">
        <v>0</v>
      </c>
      <c r="H362" s="18">
        <v>1</v>
      </c>
      <c r="I362" s="18">
        <v>5</v>
      </c>
      <c r="J362" s="18">
        <v>1</v>
      </c>
      <c r="K362" s="18" t="s">
        <v>162</v>
      </c>
      <c r="T362" s="3">
        <f t="shared" si="14"/>
        <v>10</v>
      </c>
      <c r="U362" s="3">
        <v>11</v>
      </c>
      <c r="V362" s="3">
        <v>1</v>
      </c>
      <c r="X362" s="2" t="s">
        <v>1954</v>
      </c>
      <c r="Y362" s="18">
        <v>4</v>
      </c>
      <c r="Z362" s="18">
        <v>0</v>
      </c>
      <c r="AA362" s="18">
        <v>0</v>
      </c>
      <c r="AB362" s="18">
        <v>0</v>
      </c>
      <c r="AC362" s="18">
        <v>0</v>
      </c>
      <c r="AD362" s="18">
        <v>1</v>
      </c>
      <c r="AE362" s="18">
        <v>0</v>
      </c>
      <c r="AN362" s="3">
        <f t="shared" si="13"/>
        <v>5</v>
      </c>
      <c r="AO362" s="3">
        <v>9</v>
      </c>
      <c r="AP362" s="3">
        <v>4</v>
      </c>
      <c r="AR362" s="2" t="s">
        <v>1955</v>
      </c>
    </row>
    <row r="363" spans="1:44" ht="12.75" customHeight="1">
      <c r="A363" s="5">
        <v>40661</v>
      </c>
      <c r="C363" s="2" t="s">
        <v>192</v>
      </c>
      <c r="E363" s="18">
        <v>3</v>
      </c>
      <c r="F363" s="18">
        <v>4</v>
      </c>
      <c r="G363" s="18">
        <v>1</v>
      </c>
      <c r="H363" s="18">
        <v>1</v>
      </c>
      <c r="I363" s="18">
        <v>0</v>
      </c>
      <c r="J363" s="18">
        <v>6</v>
      </c>
      <c r="T363" s="3">
        <f t="shared" si="14"/>
        <v>15</v>
      </c>
      <c r="U363" s="3">
        <v>16</v>
      </c>
      <c r="V363" s="3">
        <v>2</v>
      </c>
      <c r="X363" s="2" t="s">
        <v>1967</v>
      </c>
      <c r="Y363" s="18">
        <v>0</v>
      </c>
      <c r="Z363" s="18">
        <v>0</v>
      </c>
      <c r="AA363" s="18">
        <v>0</v>
      </c>
      <c r="AB363" s="18">
        <v>1</v>
      </c>
      <c r="AC363" s="18">
        <v>1</v>
      </c>
      <c r="AD363" s="18">
        <v>0</v>
      </c>
      <c r="AN363" s="3">
        <f t="shared" si="13"/>
        <v>2</v>
      </c>
      <c r="AO363" s="3">
        <v>4</v>
      </c>
      <c r="AP363" s="3">
        <v>1</v>
      </c>
      <c r="AR363" s="2" t="s">
        <v>1968</v>
      </c>
    </row>
    <row r="364" spans="1:44" ht="12.75" customHeight="1">
      <c r="A364" s="5">
        <v>41400</v>
      </c>
      <c r="C364" s="2" t="s">
        <v>192</v>
      </c>
      <c r="E364" s="18">
        <v>3</v>
      </c>
      <c r="F364" s="18">
        <v>3</v>
      </c>
      <c r="G364" s="18">
        <v>0</v>
      </c>
      <c r="H364" s="18">
        <v>0</v>
      </c>
      <c r="I364" s="18">
        <v>0</v>
      </c>
      <c r="J364" s="18">
        <v>0</v>
      </c>
      <c r="K364" s="18">
        <v>3</v>
      </c>
      <c r="T364" s="3">
        <f t="shared" si="14"/>
        <v>9</v>
      </c>
      <c r="U364" s="3">
        <v>6</v>
      </c>
      <c r="V364" s="3">
        <v>5</v>
      </c>
      <c r="X364" s="2" t="s">
        <v>2089</v>
      </c>
      <c r="Y364" s="18">
        <v>0</v>
      </c>
      <c r="Z364" s="18">
        <v>0</v>
      </c>
      <c r="AA364" s="18">
        <v>3</v>
      </c>
      <c r="AB364" s="18">
        <v>1</v>
      </c>
      <c r="AC364" s="18">
        <v>1</v>
      </c>
      <c r="AD364" s="18">
        <v>2</v>
      </c>
      <c r="AE364" s="18">
        <v>1</v>
      </c>
      <c r="AN364" s="3">
        <f t="shared" si="13"/>
        <v>8</v>
      </c>
      <c r="AO364" s="3">
        <v>10</v>
      </c>
      <c r="AP364" s="3">
        <v>5</v>
      </c>
      <c r="AR364" s="2" t="s">
        <v>2090</v>
      </c>
    </row>
    <row r="365" spans="1:44" ht="12.75" customHeight="1">
      <c r="A365" s="5">
        <v>41766</v>
      </c>
      <c r="B365" s="2" t="s">
        <v>152</v>
      </c>
      <c r="C365" s="2" t="s">
        <v>192</v>
      </c>
      <c r="E365" s="18">
        <v>2</v>
      </c>
      <c r="F365" s="18">
        <v>1</v>
      </c>
      <c r="G365" s="18">
        <v>1</v>
      </c>
      <c r="H365" s="18">
        <v>4</v>
      </c>
      <c r="I365" s="18">
        <v>0</v>
      </c>
      <c r="J365" s="18">
        <v>0</v>
      </c>
      <c r="K365" s="18">
        <v>2</v>
      </c>
      <c r="T365" s="3">
        <f t="shared" si="14"/>
        <v>10</v>
      </c>
      <c r="U365" s="3">
        <v>7</v>
      </c>
      <c r="V365" s="3">
        <v>2</v>
      </c>
      <c r="X365" s="2" t="s">
        <v>2065</v>
      </c>
      <c r="Y365" s="18">
        <v>0</v>
      </c>
      <c r="Z365" s="18">
        <v>0</v>
      </c>
      <c r="AA365" s="18">
        <v>0</v>
      </c>
      <c r="AB365" s="18">
        <v>2</v>
      </c>
      <c r="AC365" s="18">
        <v>0</v>
      </c>
      <c r="AD365" s="18">
        <v>0</v>
      </c>
      <c r="AE365" s="18">
        <v>0</v>
      </c>
      <c r="AN365" s="3">
        <f t="shared" si="13"/>
        <v>2</v>
      </c>
      <c r="AO365" s="3">
        <v>5</v>
      </c>
      <c r="AP365" s="3">
        <v>7</v>
      </c>
      <c r="AR365" s="2" t="s">
        <v>2064</v>
      </c>
    </row>
    <row r="366" spans="1:44" ht="12.75" customHeight="1">
      <c r="A366" s="5">
        <v>42138</v>
      </c>
      <c r="C366" s="2" t="s">
        <v>192</v>
      </c>
      <c r="E366" s="18">
        <v>1</v>
      </c>
      <c r="F366" s="18">
        <v>4</v>
      </c>
      <c r="G366" s="18">
        <v>3</v>
      </c>
      <c r="H366" s="18">
        <v>3</v>
      </c>
      <c r="I366" s="18" t="s">
        <v>162</v>
      </c>
      <c r="T366" s="3">
        <f t="shared" si="14"/>
        <v>11</v>
      </c>
      <c r="U366" s="3">
        <v>6</v>
      </c>
      <c r="V366" s="3">
        <v>0</v>
      </c>
      <c r="X366" s="2" t="s">
        <v>2138</v>
      </c>
      <c r="Y366" s="18">
        <v>0</v>
      </c>
      <c r="Z366" s="18">
        <v>0</v>
      </c>
      <c r="AA366" s="18">
        <v>1</v>
      </c>
      <c r="AB366" s="18">
        <v>0</v>
      </c>
      <c r="AC366" s="18">
        <v>0</v>
      </c>
      <c r="AN366" s="3">
        <f t="shared" si="13"/>
        <v>1</v>
      </c>
      <c r="AO366" s="3">
        <v>5</v>
      </c>
      <c r="AP366" s="3">
        <v>6</v>
      </c>
      <c r="AR366" s="2" t="s">
        <v>2137</v>
      </c>
    </row>
    <row r="367" spans="1:44" ht="12.75" customHeight="1">
      <c r="A367" s="5">
        <v>42479</v>
      </c>
      <c r="B367" s="2" t="s">
        <v>152</v>
      </c>
      <c r="C367" s="2" t="s">
        <v>192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7</v>
      </c>
      <c r="K367" s="18">
        <v>0</v>
      </c>
      <c r="T367" s="3">
        <f t="shared" si="14"/>
        <v>7</v>
      </c>
      <c r="U367" s="3">
        <v>7</v>
      </c>
      <c r="V367" s="3">
        <v>1</v>
      </c>
      <c r="X367" s="2" t="s">
        <v>2151</v>
      </c>
      <c r="Y367" s="18">
        <v>0</v>
      </c>
      <c r="Z367" s="18">
        <v>0</v>
      </c>
      <c r="AA367" s="18">
        <v>0</v>
      </c>
      <c r="AB367" s="18">
        <v>0</v>
      </c>
      <c r="AC367" s="18">
        <v>2</v>
      </c>
      <c r="AD367" s="18">
        <v>0</v>
      </c>
      <c r="AE367" s="18">
        <v>0</v>
      </c>
      <c r="AN367" s="3">
        <f t="shared" si="13"/>
        <v>2</v>
      </c>
      <c r="AO367" s="3">
        <v>5</v>
      </c>
      <c r="AP367" s="3">
        <v>0</v>
      </c>
      <c r="AR367" s="2" t="s">
        <v>2152</v>
      </c>
    </row>
    <row r="368" spans="1:44" ht="12.75" customHeight="1">
      <c r="A368" s="5">
        <v>42853</v>
      </c>
      <c r="C368" s="2" t="s">
        <v>192</v>
      </c>
      <c r="E368" s="18">
        <v>3</v>
      </c>
      <c r="F368" s="18">
        <v>0</v>
      </c>
      <c r="G368" s="18">
        <v>2</v>
      </c>
      <c r="H368" s="18">
        <v>2</v>
      </c>
      <c r="I368" s="18">
        <v>0</v>
      </c>
      <c r="J368" s="18">
        <v>5</v>
      </c>
      <c r="T368" s="3">
        <f t="shared" si="14"/>
        <v>12</v>
      </c>
      <c r="U368" s="3">
        <v>11</v>
      </c>
      <c r="V368" s="3">
        <v>2</v>
      </c>
      <c r="X368" s="2" t="s">
        <v>2156</v>
      </c>
      <c r="Y368" s="18">
        <v>0</v>
      </c>
      <c r="Z368" s="18">
        <v>1</v>
      </c>
      <c r="AA368" s="18">
        <v>1</v>
      </c>
      <c r="AB368" s="18">
        <v>0</v>
      </c>
      <c r="AC368" s="18">
        <v>0</v>
      </c>
      <c r="AD368" s="18">
        <v>0</v>
      </c>
      <c r="AN368" s="3">
        <f t="shared" si="13"/>
        <v>2</v>
      </c>
      <c r="AO368" s="3">
        <v>6</v>
      </c>
      <c r="AP368" s="3">
        <v>3</v>
      </c>
      <c r="AR368" s="2" t="s">
        <v>2186</v>
      </c>
    </row>
    <row r="369" spans="1:44" ht="12.75" customHeight="1">
      <c r="A369" s="5">
        <v>43221</v>
      </c>
      <c r="B369" s="2" t="s">
        <v>152</v>
      </c>
      <c r="C369" s="2" t="s">
        <v>192</v>
      </c>
      <c r="E369" s="18">
        <v>5</v>
      </c>
      <c r="F369" s="18">
        <v>0</v>
      </c>
      <c r="G369" s="18">
        <v>0</v>
      </c>
      <c r="H369" s="18">
        <v>0</v>
      </c>
      <c r="I369" s="18">
        <v>5</v>
      </c>
      <c r="J369" s="18">
        <v>0</v>
      </c>
      <c r="K369" s="18">
        <v>4</v>
      </c>
      <c r="T369" s="3">
        <f t="shared" si="14"/>
        <v>14</v>
      </c>
      <c r="U369" s="3">
        <v>12</v>
      </c>
      <c r="V369" s="3">
        <v>0</v>
      </c>
      <c r="X369" s="2" t="s">
        <v>2238</v>
      </c>
      <c r="Y369" s="18">
        <v>1</v>
      </c>
      <c r="Z369" s="18">
        <v>0</v>
      </c>
      <c r="AA369" s="18">
        <v>0</v>
      </c>
      <c r="AB369" s="18">
        <v>2</v>
      </c>
      <c r="AC369" s="18">
        <v>1</v>
      </c>
      <c r="AD369" s="18">
        <v>0</v>
      </c>
      <c r="AE369" s="18">
        <v>0</v>
      </c>
      <c r="AN369" s="3">
        <f t="shared" si="13"/>
        <v>4</v>
      </c>
      <c r="AO369" s="3">
        <v>10</v>
      </c>
      <c r="AP369" s="3">
        <v>2</v>
      </c>
      <c r="AR369" s="2" t="s">
        <v>2305</v>
      </c>
    </row>
    <row r="370" spans="1:44" ht="12.75" customHeight="1">
      <c r="A370" s="5">
        <v>43564</v>
      </c>
      <c r="C370" s="2" t="s">
        <v>192</v>
      </c>
      <c r="E370" s="18">
        <v>3</v>
      </c>
      <c r="F370" s="18">
        <v>3</v>
      </c>
      <c r="G370" s="18">
        <v>3</v>
      </c>
      <c r="H370" s="18">
        <v>0</v>
      </c>
      <c r="I370" s="18">
        <v>10</v>
      </c>
      <c r="J370" s="18">
        <v>3</v>
      </c>
      <c r="T370" s="3">
        <f t="shared" si="14"/>
        <v>22</v>
      </c>
      <c r="U370" s="3">
        <v>14</v>
      </c>
      <c r="V370" s="3">
        <v>2</v>
      </c>
      <c r="X370" s="2" t="s">
        <v>2252</v>
      </c>
      <c r="Y370" s="18">
        <v>2</v>
      </c>
      <c r="Z370" s="18">
        <v>6</v>
      </c>
      <c r="AA370" s="18">
        <v>1</v>
      </c>
      <c r="AB370" s="18">
        <v>2</v>
      </c>
      <c r="AC370" s="18">
        <v>1</v>
      </c>
      <c r="AD370" s="18">
        <v>0</v>
      </c>
      <c r="AN370" s="3">
        <f t="shared" si="13"/>
        <v>12</v>
      </c>
      <c r="AO370" s="3">
        <v>12</v>
      </c>
      <c r="AP370" s="3">
        <v>6</v>
      </c>
      <c r="AR370" s="2" t="s">
        <v>2253</v>
      </c>
    </row>
    <row r="371" spans="1:44" ht="12.75" customHeight="1">
      <c r="A371" s="5">
        <v>44327</v>
      </c>
      <c r="B371" s="2" t="s">
        <v>152</v>
      </c>
      <c r="C371" s="2" t="s">
        <v>192</v>
      </c>
      <c r="E371" s="18">
        <v>1</v>
      </c>
      <c r="F371" s="18">
        <v>0</v>
      </c>
      <c r="G371" s="18">
        <v>3</v>
      </c>
      <c r="H371" s="18">
        <v>0</v>
      </c>
      <c r="I371" s="18">
        <v>6</v>
      </c>
      <c r="J371" s="18">
        <v>2</v>
      </c>
      <c r="K371" s="18">
        <v>3</v>
      </c>
      <c r="T371" s="3">
        <f t="shared" si="14"/>
        <v>15</v>
      </c>
      <c r="U371" s="3">
        <v>11</v>
      </c>
      <c r="V371" s="3">
        <v>4</v>
      </c>
      <c r="X371" s="2" t="s">
        <v>2231</v>
      </c>
      <c r="Y371" s="18">
        <v>0</v>
      </c>
      <c r="Z371" s="18">
        <v>1</v>
      </c>
      <c r="AA371" s="18">
        <v>2</v>
      </c>
      <c r="AB371" s="18">
        <v>0</v>
      </c>
      <c r="AC371" s="18">
        <v>0</v>
      </c>
      <c r="AD371" s="18">
        <v>1</v>
      </c>
      <c r="AN371" s="3">
        <f t="shared" si="13"/>
        <v>4</v>
      </c>
      <c r="AO371" s="3">
        <v>7</v>
      </c>
      <c r="AP371" s="3">
        <v>4</v>
      </c>
      <c r="AR371" s="2" t="s">
        <v>2261</v>
      </c>
    </row>
    <row r="372" spans="1:45" ht="12.75">
      <c r="A372" s="5">
        <v>44655</v>
      </c>
      <c r="C372" s="2" t="s">
        <v>192</v>
      </c>
      <c r="E372" s="18">
        <v>2</v>
      </c>
      <c r="F372" s="18">
        <v>6</v>
      </c>
      <c r="G372" s="18">
        <v>5</v>
      </c>
      <c r="H372" s="18">
        <v>0</v>
      </c>
      <c r="I372" s="18">
        <v>0</v>
      </c>
      <c r="J372" s="18">
        <v>0</v>
      </c>
      <c r="K372" s="18">
        <v>0</v>
      </c>
      <c r="T372" s="3">
        <v>13</v>
      </c>
      <c r="U372" s="3">
        <v>5</v>
      </c>
      <c r="V372" s="3">
        <v>4</v>
      </c>
      <c r="X372" s="2" t="s">
        <v>2337</v>
      </c>
      <c r="Y372" s="18">
        <v>1</v>
      </c>
      <c r="Z372" s="18">
        <v>7</v>
      </c>
      <c r="AA372" s="18">
        <v>0</v>
      </c>
      <c r="AB372" s="18">
        <v>0</v>
      </c>
      <c r="AC372" s="18">
        <v>1</v>
      </c>
      <c r="AD372" s="18">
        <v>0</v>
      </c>
      <c r="AE372" s="18">
        <v>0</v>
      </c>
      <c r="AN372" s="3">
        <v>9</v>
      </c>
      <c r="AO372" s="3">
        <v>10</v>
      </c>
      <c r="AP372" s="3">
        <v>0</v>
      </c>
      <c r="AR372" s="2" t="s">
        <v>2338</v>
      </c>
      <c r="AS372" s="28"/>
    </row>
    <row r="373" spans="1:44" ht="12.75" customHeight="1">
      <c r="A373" s="4">
        <f>DATE(88,4,1)</f>
        <v>32234</v>
      </c>
      <c r="B373" s="2" t="s">
        <v>152</v>
      </c>
      <c r="C373" s="2" t="s">
        <v>624</v>
      </c>
      <c r="E373" s="18">
        <v>2</v>
      </c>
      <c r="F373" s="18">
        <v>0</v>
      </c>
      <c r="G373" s="18">
        <v>2</v>
      </c>
      <c r="H373" s="18">
        <v>6</v>
      </c>
      <c r="I373" s="18">
        <v>13</v>
      </c>
      <c r="T373" s="3">
        <v>23</v>
      </c>
      <c r="U373" s="3">
        <v>18</v>
      </c>
      <c r="V373" s="3">
        <v>1</v>
      </c>
      <c r="X373" s="2" t="s">
        <v>1597</v>
      </c>
      <c r="Y373" s="18">
        <v>2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  <c r="AN373" s="3">
        <v>2</v>
      </c>
      <c r="AO373" s="3">
        <v>1</v>
      </c>
      <c r="AP373" s="3">
        <v>6</v>
      </c>
      <c r="AR373" s="2" t="s">
        <v>1598</v>
      </c>
    </row>
    <row r="374" spans="1:44" ht="12.75" customHeight="1">
      <c r="A374" s="5">
        <v>39928</v>
      </c>
      <c r="B374" s="2" t="s">
        <v>239</v>
      </c>
      <c r="C374" s="2" t="s">
        <v>1779</v>
      </c>
      <c r="D374" s="2" t="s">
        <v>1743</v>
      </c>
      <c r="E374" s="18">
        <v>0</v>
      </c>
      <c r="F374" s="18">
        <v>5</v>
      </c>
      <c r="G374" s="18">
        <v>1</v>
      </c>
      <c r="H374" s="18">
        <v>4</v>
      </c>
      <c r="I374" s="18">
        <v>1</v>
      </c>
      <c r="T374" s="3">
        <f aca="true" t="shared" si="15" ref="T374:T408">SUM(E374:S374)</f>
        <v>11</v>
      </c>
      <c r="U374" s="3">
        <v>9</v>
      </c>
      <c r="V374" s="3">
        <v>1</v>
      </c>
      <c r="X374" s="2" t="s">
        <v>1762</v>
      </c>
      <c r="Y374" s="18">
        <v>0</v>
      </c>
      <c r="Z374" s="18">
        <v>0</v>
      </c>
      <c r="AA374" s="18">
        <v>0</v>
      </c>
      <c r="AB374" s="18">
        <v>0</v>
      </c>
      <c r="AC374" s="18">
        <v>1</v>
      </c>
      <c r="AN374" s="3">
        <f aca="true" t="shared" si="16" ref="AN374:AN408">SUM(Y374:AM374)</f>
        <v>1</v>
      </c>
      <c r="AO374" s="3">
        <v>1</v>
      </c>
      <c r="AP374" s="3">
        <v>5</v>
      </c>
      <c r="AR374" s="2" t="s">
        <v>1761</v>
      </c>
    </row>
    <row r="375" spans="1:44" ht="12.75" customHeight="1">
      <c r="A375" s="5">
        <v>39565</v>
      </c>
      <c r="B375" s="2" t="s">
        <v>239</v>
      </c>
      <c r="C375" s="2" t="s">
        <v>943</v>
      </c>
      <c r="D375" s="2" t="s">
        <v>1743</v>
      </c>
      <c r="E375" s="18">
        <v>0</v>
      </c>
      <c r="F375" s="18">
        <v>0</v>
      </c>
      <c r="G375" s="18">
        <v>8</v>
      </c>
      <c r="H375" s="18">
        <v>0</v>
      </c>
      <c r="I375" s="18">
        <v>2</v>
      </c>
      <c r="J375" s="18">
        <v>0</v>
      </c>
      <c r="K375" s="18" t="s">
        <v>162</v>
      </c>
      <c r="T375" s="3">
        <f t="shared" si="15"/>
        <v>10</v>
      </c>
      <c r="U375" s="3">
        <v>11</v>
      </c>
      <c r="V375" s="3">
        <v>1</v>
      </c>
      <c r="X375" s="2" t="s">
        <v>945</v>
      </c>
      <c r="Y375" s="18">
        <v>1</v>
      </c>
      <c r="Z375" s="18">
        <v>0</v>
      </c>
      <c r="AA375" s="18">
        <v>0</v>
      </c>
      <c r="AB375" s="18">
        <v>6</v>
      </c>
      <c r="AC375" s="18">
        <v>1</v>
      </c>
      <c r="AD375" s="18">
        <v>0</v>
      </c>
      <c r="AE375" s="18">
        <v>1</v>
      </c>
      <c r="AN375" s="3">
        <f t="shared" si="16"/>
        <v>9</v>
      </c>
      <c r="AO375" s="3">
        <v>11</v>
      </c>
      <c r="AP375" s="3">
        <v>1</v>
      </c>
      <c r="AR375" s="2" t="s">
        <v>948</v>
      </c>
    </row>
    <row r="376" spans="1:44" ht="12.75" customHeight="1">
      <c r="A376" s="5">
        <v>40662</v>
      </c>
      <c r="C376" s="2" t="s">
        <v>943</v>
      </c>
      <c r="E376" s="18">
        <v>1</v>
      </c>
      <c r="F376" s="18">
        <v>5</v>
      </c>
      <c r="G376" s="18">
        <v>10</v>
      </c>
      <c r="H376" s="18">
        <v>3</v>
      </c>
      <c r="I376" s="18">
        <v>3</v>
      </c>
      <c r="J376" s="18">
        <v>0</v>
      </c>
      <c r="T376" s="3">
        <f t="shared" si="15"/>
        <v>22</v>
      </c>
      <c r="U376" s="3">
        <v>16</v>
      </c>
      <c r="V376" s="3">
        <v>6</v>
      </c>
      <c r="X376" s="2" t="s">
        <v>1970</v>
      </c>
      <c r="Y376" s="18">
        <v>0</v>
      </c>
      <c r="Z376" s="18">
        <v>7</v>
      </c>
      <c r="AA376" s="18">
        <v>7</v>
      </c>
      <c r="AB376" s="18">
        <v>7</v>
      </c>
      <c r="AC376" s="18">
        <v>3</v>
      </c>
      <c r="AD376" s="18">
        <v>12</v>
      </c>
      <c r="AN376" s="3">
        <f t="shared" si="16"/>
        <v>36</v>
      </c>
      <c r="AO376" s="3">
        <v>37</v>
      </c>
      <c r="AP376" s="3">
        <v>3</v>
      </c>
      <c r="AR376" s="2" t="s">
        <v>1971</v>
      </c>
    </row>
    <row r="377" spans="1:44" ht="12.75" customHeight="1">
      <c r="A377" s="5">
        <v>40674</v>
      </c>
      <c r="B377" s="2" t="s">
        <v>152</v>
      </c>
      <c r="C377" s="2" t="s">
        <v>943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1</v>
      </c>
      <c r="T377" s="3">
        <f t="shared" si="15"/>
        <v>1</v>
      </c>
      <c r="U377" s="3">
        <v>3</v>
      </c>
      <c r="V377" s="3">
        <v>2</v>
      </c>
      <c r="X377" s="2" t="s">
        <v>1984</v>
      </c>
      <c r="Y377" s="18">
        <v>0</v>
      </c>
      <c r="Z377" s="18">
        <v>0</v>
      </c>
      <c r="AA377" s="18">
        <v>1</v>
      </c>
      <c r="AB377" s="18">
        <v>1</v>
      </c>
      <c r="AC377" s="18">
        <v>1</v>
      </c>
      <c r="AD377" s="18">
        <v>0</v>
      </c>
      <c r="AE377" s="18" t="s">
        <v>162</v>
      </c>
      <c r="AN377" s="3">
        <f t="shared" si="16"/>
        <v>3</v>
      </c>
      <c r="AO377" s="3">
        <v>2</v>
      </c>
      <c r="AP377" s="3">
        <v>0</v>
      </c>
      <c r="AR377" s="2" t="s">
        <v>1985</v>
      </c>
    </row>
    <row r="378" spans="1:44" ht="12.75" customHeight="1">
      <c r="A378" s="5">
        <v>41008</v>
      </c>
      <c r="C378" s="2" t="s">
        <v>943</v>
      </c>
      <c r="E378" s="18">
        <v>1</v>
      </c>
      <c r="F378" s="18">
        <v>2</v>
      </c>
      <c r="G378" s="18">
        <v>0</v>
      </c>
      <c r="H378" s="18">
        <v>5</v>
      </c>
      <c r="I378" s="18">
        <v>5</v>
      </c>
      <c r="J378" s="18">
        <v>0</v>
      </c>
      <c r="K378" s="18">
        <v>0</v>
      </c>
      <c r="T378" s="3">
        <f t="shared" si="15"/>
        <v>13</v>
      </c>
      <c r="U378" s="3">
        <v>9</v>
      </c>
      <c r="V378" s="3">
        <v>7</v>
      </c>
      <c r="X378" s="2" t="s">
        <v>2020</v>
      </c>
      <c r="Y378" s="18">
        <v>2</v>
      </c>
      <c r="Z378" s="18">
        <v>3</v>
      </c>
      <c r="AA378" s="18">
        <v>3</v>
      </c>
      <c r="AB378" s="18">
        <v>3</v>
      </c>
      <c r="AC378" s="18">
        <v>4</v>
      </c>
      <c r="AD378" s="18">
        <v>0</v>
      </c>
      <c r="AE378" s="18">
        <v>1</v>
      </c>
      <c r="AN378" s="3">
        <f t="shared" si="16"/>
        <v>16</v>
      </c>
      <c r="AO378" s="3">
        <v>17</v>
      </c>
      <c r="AP378" s="3">
        <v>2</v>
      </c>
      <c r="AR378" s="2" t="s">
        <v>2046</v>
      </c>
    </row>
    <row r="379" spans="1:44" ht="12.75" customHeight="1">
      <c r="A379" s="5">
        <v>41026</v>
      </c>
      <c r="B379" s="2" t="s">
        <v>152</v>
      </c>
      <c r="C379" s="2" t="s">
        <v>943</v>
      </c>
      <c r="E379" s="18">
        <v>0</v>
      </c>
      <c r="F379" s="18">
        <v>5</v>
      </c>
      <c r="G379" s="18">
        <v>6</v>
      </c>
      <c r="H379" s="18">
        <v>0</v>
      </c>
      <c r="I379" s="18">
        <v>0</v>
      </c>
      <c r="T379" s="3">
        <f t="shared" si="15"/>
        <v>11</v>
      </c>
      <c r="U379" s="3">
        <v>7</v>
      </c>
      <c r="V379" s="3">
        <v>5</v>
      </c>
      <c r="X379" s="2" t="s">
        <v>2035</v>
      </c>
      <c r="Y379" s="18">
        <v>3</v>
      </c>
      <c r="Z379" s="18">
        <v>4</v>
      </c>
      <c r="AA379" s="18">
        <v>4</v>
      </c>
      <c r="AB379" s="18">
        <v>0</v>
      </c>
      <c r="AC379" s="18">
        <v>10</v>
      </c>
      <c r="AN379" s="3">
        <f t="shared" si="16"/>
        <v>21</v>
      </c>
      <c r="AO379" s="3">
        <v>14</v>
      </c>
      <c r="AP379" s="3">
        <v>1</v>
      </c>
      <c r="AR379" s="2" t="s">
        <v>2036</v>
      </c>
    </row>
    <row r="380" spans="1:44" ht="12.75" customHeight="1">
      <c r="A380" s="5">
        <v>41390</v>
      </c>
      <c r="B380" s="2" t="s">
        <v>152</v>
      </c>
      <c r="C380" s="2" t="s">
        <v>943</v>
      </c>
      <c r="E380" s="18">
        <v>1</v>
      </c>
      <c r="F380" s="18">
        <v>0</v>
      </c>
      <c r="G380" s="18">
        <v>0</v>
      </c>
      <c r="H380" s="18">
        <v>2</v>
      </c>
      <c r="I380" s="18">
        <v>0</v>
      </c>
      <c r="J380" s="18">
        <v>0</v>
      </c>
      <c r="K380" s="18">
        <v>6</v>
      </c>
      <c r="T380" s="3">
        <f t="shared" si="15"/>
        <v>9</v>
      </c>
      <c r="U380" s="3">
        <v>11</v>
      </c>
      <c r="V380" s="3">
        <v>5</v>
      </c>
      <c r="X380" s="2" t="s">
        <v>2096</v>
      </c>
      <c r="Y380" s="18">
        <v>1</v>
      </c>
      <c r="Z380" s="18">
        <v>0</v>
      </c>
      <c r="AA380" s="18">
        <v>5</v>
      </c>
      <c r="AB380" s="18">
        <v>0</v>
      </c>
      <c r="AC380" s="18">
        <v>2</v>
      </c>
      <c r="AD380" s="18">
        <v>3</v>
      </c>
      <c r="AE380" s="18" t="s">
        <v>162</v>
      </c>
      <c r="AN380" s="3">
        <f t="shared" si="16"/>
        <v>11</v>
      </c>
      <c r="AO380" s="3">
        <v>9</v>
      </c>
      <c r="AP380" s="3">
        <v>1</v>
      </c>
      <c r="AR380" s="2" t="s">
        <v>2097</v>
      </c>
    </row>
    <row r="381" spans="1:44" ht="12.75" customHeight="1">
      <c r="A381" s="5">
        <v>41402</v>
      </c>
      <c r="C381" s="2" t="s">
        <v>943</v>
      </c>
      <c r="E381" s="18">
        <v>0</v>
      </c>
      <c r="F381" s="18">
        <v>1</v>
      </c>
      <c r="G381" s="18">
        <v>0</v>
      </c>
      <c r="H381" s="18">
        <v>0</v>
      </c>
      <c r="I381" s="18">
        <v>0</v>
      </c>
      <c r="J381" s="18">
        <v>0</v>
      </c>
      <c r="K381" s="18">
        <v>2</v>
      </c>
      <c r="T381" s="3">
        <f t="shared" si="15"/>
        <v>3</v>
      </c>
      <c r="U381" s="3">
        <v>5</v>
      </c>
      <c r="V381" s="3">
        <v>4</v>
      </c>
      <c r="X381" s="2" t="s">
        <v>2087</v>
      </c>
      <c r="Y381" s="18">
        <v>1</v>
      </c>
      <c r="Z381" s="18">
        <v>1</v>
      </c>
      <c r="AA381" s="18">
        <v>1</v>
      </c>
      <c r="AB381" s="18">
        <v>0</v>
      </c>
      <c r="AC381" s="18">
        <v>0</v>
      </c>
      <c r="AD381" s="18">
        <v>0</v>
      </c>
      <c r="AE381" s="18">
        <v>1</v>
      </c>
      <c r="AN381" s="3">
        <f t="shared" si="16"/>
        <v>4</v>
      </c>
      <c r="AO381" s="3">
        <v>10</v>
      </c>
      <c r="AP381" s="3">
        <v>2</v>
      </c>
      <c r="AR381" s="2" t="s">
        <v>2086</v>
      </c>
    </row>
    <row r="382" spans="1:44" ht="12.75" customHeight="1">
      <c r="A382" s="5">
        <v>41731</v>
      </c>
      <c r="B382" s="2" t="s">
        <v>152</v>
      </c>
      <c r="C382" s="2" t="s">
        <v>943</v>
      </c>
      <c r="E382" s="18">
        <v>0</v>
      </c>
      <c r="F382" s="18">
        <v>0</v>
      </c>
      <c r="G382" s="18">
        <v>0</v>
      </c>
      <c r="H382" s="18">
        <v>0</v>
      </c>
      <c r="I382" s="18">
        <v>1</v>
      </c>
      <c r="J382" s="18">
        <v>0</v>
      </c>
      <c r="K382" s="18">
        <v>0</v>
      </c>
      <c r="T382" s="3">
        <f t="shared" si="15"/>
        <v>1</v>
      </c>
      <c r="U382" s="3">
        <v>3</v>
      </c>
      <c r="V382" s="3">
        <v>0</v>
      </c>
      <c r="X382" s="2" t="s">
        <v>2082</v>
      </c>
      <c r="Y382" s="18">
        <v>0</v>
      </c>
      <c r="Z382" s="18">
        <v>1</v>
      </c>
      <c r="AA382" s="18">
        <v>0</v>
      </c>
      <c r="AB382" s="18">
        <v>1</v>
      </c>
      <c r="AC382" s="18">
        <v>0</v>
      </c>
      <c r="AD382" s="18">
        <v>0</v>
      </c>
      <c r="AE382" s="18" t="s">
        <v>162</v>
      </c>
      <c r="AN382" s="3">
        <f t="shared" si="16"/>
        <v>2</v>
      </c>
      <c r="AO382" s="3">
        <v>4</v>
      </c>
      <c r="AP382" s="3">
        <v>2</v>
      </c>
      <c r="AR382" s="2" t="s">
        <v>2081</v>
      </c>
    </row>
    <row r="383" spans="1:44" ht="12.75" customHeight="1">
      <c r="A383" s="5">
        <v>41746</v>
      </c>
      <c r="C383" s="2" t="s">
        <v>943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T383" s="3">
        <f t="shared" si="15"/>
        <v>0</v>
      </c>
      <c r="U383" s="3">
        <v>3</v>
      </c>
      <c r="V383" s="3">
        <v>6</v>
      </c>
      <c r="X383" s="2" t="s">
        <v>2072</v>
      </c>
      <c r="Y383" s="18">
        <v>4</v>
      </c>
      <c r="Z383" s="18">
        <v>0</v>
      </c>
      <c r="AA383" s="18">
        <v>0</v>
      </c>
      <c r="AB383" s="18">
        <v>2</v>
      </c>
      <c r="AC383" s="18">
        <v>0</v>
      </c>
      <c r="AD383" s="18">
        <v>0</v>
      </c>
      <c r="AE383" s="18">
        <v>4</v>
      </c>
      <c r="AN383" s="3">
        <f t="shared" si="16"/>
        <v>10</v>
      </c>
      <c r="AO383" s="3">
        <v>11</v>
      </c>
      <c r="AP383" s="3">
        <v>0</v>
      </c>
      <c r="AR383" s="2" t="s">
        <v>2076</v>
      </c>
    </row>
    <row r="384" spans="1:44" ht="12.75" customHeight="1">
      <c r="A384" s="5">
        <v>42086</v>
      </c>
      <c r="B384" s="2" t="s">
        <v>152</v>
      </c>
      <c r="C384" s="2" t="s">
        <v>943</v>
      </c>
      <c r="E384" s="18">
        <v>0</v>
      </c>
      <c r="F384" s="18">
        <v>0</v>
      </c>
      <c r="G384" s="18">
        <v>1</v>
      </c>
      <c r="H384" s="18">
        <v>1</v>
      </c>
      <c r="I384" s="18">
        <v>0</v>
      </c>
      <c r="J384" s="18">
        <v>0</v>
      </c>
      <c r="K384" s="18">
        <v>0</v>
      </c>
      <c r="T384" s="3">
        <f t="shared" si="15"/>
        <v>2</v>
      </c>
      <c r="U384" s="3">
        <v>6</v>
      </c>
      <c r="V384" s="3">
        <v>0</v>
      </c>
      <c r="X384" s="2" t="s">
        <v>2115</v>
      </c>
      <c r="Y384" s="18">
        <v>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  <c r="AE384" s="18">
        <v>0</v>
      </c>
      <c r="AN384" s="3">
        <f t="shared" si="16"/>
        <v>0</v>
      </c>
      <c r="AO384" s="3">
        <v>4</v>
      </c>
      <c r="AP384" s="3">
        <v>1</v>
      </c>
      <c r="AR384" s="2" t="s">
        <v>2116</v>
      </c>
    </row>
    <row r="385" spans="1:44" ht="12.75" customHeight="1">
      <c r="A385" s="5">
        <v>42104</v>
      </c>
      <c r="B385" s="2" t="s">
        <v>239</v>
      </c>
      <c r="C385" s="2" t="s">
        <v>943</v>
      </c>
      <c r="D385" s="2" t="s">
        <v>1743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0</v>
      </c>
      <c r="K385" s="18">
        <v>0</v>
      </c>
      <c r="T385" s="3">
        <f t="shared" si="15"/>
        <v>0</v>
      </c>
      <c r="U385" s="3">
        <v>3</v>
      </c>
      <c r="V385" s="3">
        <v>5</v>
      </c>
      <c r="X385" s="2" t="s">
        <v>2065</v>
      </c>
      <c r="Y385" s="18">
        <v>0</v>
      </c>
      <c r="Z385" s="18">
        <v>0</v>
      </c>
      <c r="AA385" s="18">
        <v>0</v>
      </c>
      <c r="AB385" s="18">
        <v>1</v>
      </c>
      <c r="AC385" s="18">
        <v>1</v>
      </c>
      <c r="AD385" s="18">
        <v>0</v>
      </c>
      <c r="AE385" s="18">
        <v>0</v>
      </c>
      <c r="AN385" s="3">
        <f t="shared" si="16"/>
        <v>2</v>
      </c>
      <c r="AO385" s="3">
        <v>3</v>
      </c>
      <c r="AP385" s="3">
        <v>1</v>
      </c>
      <c r="AR385" s="2" t="s">
        <v>2076</v>
      </c>
    </row>
    <row r="386" spans="1:44" ht="12.75" customHeight="1">
      <c r="A386" s="5">
        <v>42458</v>
      </c>
      <c r="C386" s="2" t="s">
        <v>943</v>
      </c>
      <c r="E386" s="18">
        <v>3</v>
      </c>
      <c r="F386" s="18">
        <v>1</v>
      </c>
      <c r="G386" s="18">
        <v>2</v>
      </c>
      <c r="H386" s="18">
        <v>4</v>
      </c>
      <c r="I386" s="18">
        <v>0</v>
      </c>
      <c r="J386" s="18">
        <v>1</v>
      </c>
      <c r="K386" s="18" t="s">
        <v>162</v>
      </c>
      <c r="T386" s="3">
        <f t="shared" si="15"/>
        <v>11</v>
      </c>
      <c r="U386" s="3">
        <v>15</v>
      </c>
      <c r="V386" s="3">
        <v>1</v>
      </c>
      <c r="X386" s="2" t="s">
        <v>2065</v>
      </c>
      <c r="Y386" s="18">
        <v>0</v>
      </c>
      <c r="Z386" s="18">
        <v>3</v>
      </c>
      <c r="AA386" s="18">
        <v>2</v>
      </c>
      <c r="AB386" s="18">
        <v>0</v>
      </c>
      <c r="AC386" s="18">
        <v>0</v>
      </c>
      <c r="AD386" s="18">
        <v>0</v>
      </c>
      <c r="AE386" s="18">
        <v>0</v>
      </c>
      <c r="AN386" s="3">
        <f t="shared" si="16"/>
        <v>5</v>
      </c>
      <c r="AO386" s="3">
        <v>10</v>
      </c>
      <c r="AP386" s="3">
        <v>3</v>
      </c>
      <c r="AR386" s="2" t="s">
        <v>2144</v>
      </c>
    </row>
    <row r="387" spans="1:44" ht="12.75" customHeight="1">
      <c r="A387" s="5">
        <v>42481</v>
      </c>
      <c r="B387" s="2" t="s">
        <v>152</v>
      </c>
      <c r="C387" s="2" t="s">
        <v>943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T387" s="3">
        <f t="shared" si="15"/>
        <v>0</v>
      </c>
      <c r="U387" s="3">
        <v>3</v>
      </c>
      <c r="V387" s="3">
        <v>1</v>
      </c>
      <c r="X387" s="2" t="s">
        <v>2149</v>
      </c>
      <c r="Y387" s="18">
        <v>4</v>
      </c>
      <c r="Z387" s="18">
        <v>0</v>
      </c>
      <c r="AA387" s="18">
        <v>0</v>
      </c>
      <c r="AB387" s="18">
        <v>0</v>
      </c>
      <c r="AC387" s="18">
        <v>1</v>
      </c>
      <c r="AD387" s="18">
        <v>1</v>
      </c>
      <c r="AE387" s="18" t="s">
        <v>162</v>
      </c>
      <c r="AN387" s="3">
        <f t="shared" si="16"/>
        <v>6</v>
      </c>
      <c r="AO387" s="3">
        <v>4</v>
      </c>
      <c r="AP387" s="3">
        <v>0</v>
      </c>
      <c r="AR387" s="2" t="s">
        <v>2150</v>
      </c>
    </row>
    <row r="388" spans="1:44" ht="12.75" customHeight="1">
      <c r="A388" s="5">
        <v>42833</v>
      </c>
      <c r="B388" s="2" t="s">
        <v>152</v>
      </c>
      <c r="C388" s="2" t="s">
        <v>943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2</v>
      </c>
      <c r="K388" s="18">
        <v>0</v>
      </c>
      <c r="T388" s="3">
        <f t="shared" si="15"/>
        <v>2</v>
      </c>
      <c r="U388" s="3">
        <v>4</v>
      </c>
      <c r="V388" s="3">
        <v>3</v>
      </c>
      <c r="X388" s="2" t="s">
        <v>2202</v>
      </c>
      <c r="Y388" s="18">
        <v>2</v>
      </c>
      <c r="Z388" s="18">
        <v>0</v>
      </c>
      <c r="AA388" s="18">
        <v>3</v>
      </c>
      <c r="AB388" s="18">
        <v>0</v>
      </c>
      <c r="AC388" s="18">
        <v>0</v>
      </c>
      <c r="AD388" s="18">
        <v>3</v>
      </c>
      <c r="AE388" s="18" t="s">
        <v>162</v>
      </c>
      <c r="AN388" s="3">
        <f t="shared" si="16"/>
        <v>8</v>
      </c>
      <c r="AO388" s="3">
        <v>9</v>
      </c>
      <c r="AP388" s="3">
        <v>4</v>
      </c>
      <c r="AR388" s="2" t="s">
        <v>2203</v>
      </c>
    </row>
    <row r="389" spans="1:44" ht="12.75" customHeight="1">
      <c r="A389" s="5">
        <v>42842</v>
      </c>
      <c r="C389" s="2" t="s">
        <v>943</v>
      </c>
      <c r="E389" s="18">
        <v>1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1</v>
      </c>
      <c r="L389" s="18">
        <v>1</v>
      </c>
      <c r="T389" s="3">
        <f t="shared" si="15"/>
        <v>3</v>
      </c>
      <c r="U389" s="3">
        <v>6</v>
      </c>
      <c r="V389" s="3">
        <v>2</v>
      </c>
      <c r="X389" s="2" t="s">
        <v>2196</v>
      </c>
      <c r="Y389" s="18">
        <v>0</v>
      </c>
      <c r="Z389" s="18">
        <v>0</v>
      </c>
      <c r="AA389" s="18">
        <v>2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N389" s="3">
        <f t="shared" si="16"/>
        <v>2</v>
      </c>
      <c r="AO389" s="3">
        <v>5</v>
      </c>
      <c r="AP389" s="3">
        <v>2</v>
      </c>
      <c r="AR389" s="2" t="s">
        <v>2197</v>
      </c>
    </row>
    <row r="390" spans="1:44" ht="12.75" customHeight="1">
      <c r="A390" s="5">
        <v>43218</v>
      </c>
      <c r="B390" s="2" t="s">
        <v>152</v>
      </c>
      <c r="C390" s="2" t="s">
        <v>943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3</v>
      </c>
      <c r="K390" s="18">
        <v>0</v>
      </c>
      <c r="T390" s="3">
        <f t="shared" si="15"/>
        <v>3</v>
      </c>
      <c r="U390" s="3">
        <v>10</v>
      </c>
      <c r="V390" s="3">
        <v>1</v>
      </c>
      <c r="X390" s="2" t="s">
        <v>2308</v>
      </c>
      <c r="Y390" s="18">
        <v>0</v>
      </c>
      <c r="Z390" s="18">
        <v>1</v>
      </c>
      <c r="AA390" s="18">
        <v>0</v>
      </c>
      <c r="AB390" s="18">
        <v>0</v>
      </c>
      <c r="AC390" s="18">
        <v>2</v>
      </c>
      <c r="AD390" s="18">
        <v>0</v>
      </c>
      <c r="AE390" s="18">
        <v>1</v>
      </c>
      <c r="AN390" s="3">
        <f t="shared" si="16"/>
        <v>4</v>
      </c>
      <c r="AO390" s="3">
        <v>7</v>
      </c>
      <c r="AP390" s="3">
        <v>2</v>
      </c>
      <c r="AR390" s="2" t="s">
        <v>2309</v>
      </c>
    </row>
    <row r="391" spans="1:44" ht="12.75" customHeight="1">
      <c r="A391" s="5">
        <v>43566</v>
      </c>
      <c r="B391" s="2" t="s">
        <v>2224</v>
      </c>
      <c r="C391" s="2" t="s">
        <v>943</v>
      </c>
      <c r="E391" s="18">
        <v>4</v>
      </c>
      <c r="F391" s="18">
        <v>3</v>
      </c>
      <c r="G391" s="18">
        <v>0</v>
      </c>
      <c r="H391" s="18">
        <v>1</v>
      </c>
      <c r="I391" s="18">
        <v>0</v>
      </c>
      <c r="J391" s="18">
        <v>0</v>
      </c>
      <c r="K391" s="18">
        <v>2</v>
      </c>
      <c r="T391" s="3">
        <f t="shared" si="15"/>
        <v>10</v>
      </c>
      <c r="U391" s="3">
        <v>11</v>
      </c>
      <c r="V391" s="3">
        <v>2</v>
      </c>
      <c r="X391" s="2" t="s">
        <v>2299</v>
      </c>
      <c r="Y391" s="18">
        <v>0</v>
      </c>
      <c r="Z391" s="18">
        <v>4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N391" s="3">
        <f t="shared" si="16"/>
        <v>4</v>
      </c>
      <c r="AO391" s="3">
        <v>8</v>
      </c>
      <c r="AP391" s="3">
        <v>3</v>
      </c>
      <c r="AR391" s="2" t="s">
        <v>2298</v>
      </c>
    </row>
    <row r="392" spans="1:44" ht="12.75" customHeight="1">
      <c r="A392" s="5">
        <v>43592</v>
      </c>
      <c r="C392" s="2" t="s">
        <v>943</v>
      </c>
      <c r="E392" s="18">
        <v>0</v>
      </c>
      <c r="F392" s="18">
        <v>4</v>
      </c>
      <c r="G392" s="18">
        <v>1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T392" s="3">
        <f t="shared" si="15"/>
        <v>5</v>
      </c>
      <c r="U392" s="3">
        <v>3</v>
      </c>
      <c r="V392" s="3">
        <v>0</v>
      </c>
      <c r="X392" s="2" t="s">
        <v>2272</v>
      </c>
      <c r="Y392" s="18">
        <v>2</v>
      </c>
      <c r="Z392" s="18">
        <v>2</v>
      </c>
      <c r="AA392" s="18">
        <v>0</v>
      </c>
      <c r="AB392" s="18">
        <v>0</v>
      </c>
      <c r="AC392" s="18">
        <v>0</v>
      </c>
      <c r="AD392" s="18">
        <v>1</v>
      </c>
      <c r="AE392" s="18">
        <v>0</v>
      </c>
      <c r="AF392" s="18">
        <v>5</v>
      </c>
      <c r="AN392" s="3">
        <f t="shared" si="16"/>
        <v>10</v>
      </c>
      <c r="AO392" s="3">
        <v>11</v>
      </c>
      <c r="AP392" s="3">
        <v>1</v>
      </c>
      <c r="AR392" s="2" t="s">
        <v>2273</v>
      </c>
    </row>
    <row r="393" spans="1:44" ht="12.75" customHeight="1">
      <c r="A393" s="5">
        <v>44285</v>
      </c>
      <c r="B393" s="2" t="s">
        <v>152</v>
      </c>
      <c r="C393" s="2" t="s">
        <v>943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T393" s="3">
        <f t="shared" si="15"/>
        <v>0</v>
      </c>
      <c r="U393" s="3">
        <v>0</v>
      </c>
      <c r="V393" s="3">
        <v>3</v>
      </c>
      <c r="X393" s="2" t="s">
        <v>2226</v>
      </c>
      <c r="Y393" s="18">
        <v>0</v>
      </c>
      <c r="Z393" s="18">
        <v>2</v>
      </c>
      <c r="AA393" s="18">
        <v>1</v>
      </c>
      <c r="AB393" s="18">
        <v>4</v>
      </c>
      <c r="AC393" s="18">
        <v>3</v>
      </c>
      <c r="AN393" s="3">
        <f t="shared" si="16"/>
        <v>10</v>
      </c>
      <c r="AO393" s="3">
        <v>14</v>
      </c>
      <c r="AP393" s="3">
        <v>0</v>
      </c>
      <c r="AR393" s="2" t="s">
        <v>2227</v>
      </c>
    </row>
    <row r="394" spans="1:44" ht="12.75" customHeight="1">
      <c r="A394" s="5">
        <v>44333</v>
      </c>
      <c r="C394" s="2" t="s">
        <v>943</v>
      </c>
      <c r="E394" s="18">
        <v>1</v>
      </c>
      <c r="F394" s="18">
        <v>0</v>
      </c>
      <c r="G394" s="18">
        <v>1</v>
      </c>
      <c r="H394" s="18">
        <v>0</v>
      </c>
      <c r="I394" s="18">
        <v>0</v>
      </c>
      <c r="T394" s="3">
        <f t="shared" si="15"/>
        <v>2</v>
      </c>
      <c r="U394" s="3">
        <v>4</v>
      </c>
      <c r="V394" s="3">
        <v>1</v>
      </c>
      <c r="X394" s="2" t="s">
        <v>2244</v>
      </c>
      <c r="Y394" s="18">
        <v>1</v>
      </c>
      <c r="Z394" s="18">
        <v>3</v>
      </c>
      <c r="AA394" s="18">
        <v>11</v>
      </c>
      <c r="AB394" s="18">
        <v>1</v>
      </c>
      <c r="AC394" s="18">
        <v>0</v>
      </c>
      <c r="AN394" s="3">
        <f t="shared" si="16"/>
        <v>16</v>
      </c>
      <c r="AO394" s="3">
        <v>13</v>
      </c>
      <c r="AP394" s="3">
        <v>1</v>
      </c>
      <c r="AR394" s="2" t="s">
        <v>2245</v>
      </c>
    </row>
    <row r="395" spans="1:44" ht="12.75" customHeight="1">
      <c r="A395" s="5">
        <v>39564</v>
      </c>
      <c r="B395" s="2" t="s">
        <v>239</v>
      </c>
      <c r="C395" s="2" t="s">
        <v>2214</v>
      </c>
      <c r="D395" s="2" t="s">
        <v>1743</v>
      </c>
      <c r="E395" s="18">
        <v>2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T395" s="3">
        <f t="shared" si="15"/>
        <v>2</v>
      </c>
      <c r="U395" s="3">
        <v>7</v>
      </c>
      <c r="V395" s="3">
        <v>0</v>
      </c>
      <c r="X395" s="2" t="s">
        <v>477</v>
      </c>
      <c r="Y395" s="18">
        <v>1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N395" s="3">
        <f t="shared" si="16"/>
        <v>1</v>
      </c>
      <c r="AO395" s="3">
        <v>7</v>
      </c>
      <c r="AP395" s="3">
        <v>0</v>
      </c>
      <c r="AR395" s="2" t="s">
        <v>947</v>
      </c>
    </row>
    <row r="396" spans="1:44" ht="12.75" customHeight="1">
      <c r="A396" s="4">
        <v>36655</v>
      </c>
      <c r="C396" s="2" t="s">
        <v>2213</v>
      </c>
      <c r="E396" s="18">
        <v>3</v>
      </c>
      <c r="F396" s="18">
        <v>0</v>
      </c>
      <c r="G396" s="18">
        <v>0</v>
      </c>
      <c r="H396" s="18">
        <v>9</v>
      </c>
      <c r="I396" s="18">
        <v>0</v>
      </c>
      <c r="J396" s="18">
        <v>1</v>
      </c>
      <c r="K396" s="18" t="s">
        <v>162</v>
      </c>
      <c r="T396" s="3">
        <f t="shared" si="15"/>
        <v>13</v>
      </c>
      <c r="U396" s="3">
        <v>13</v>
      </c>
      <c r="V396" s="3">
        <v>7</v>
      </c>
      <c r="X396" s="2" t="s">
        <v>87</v>
      </c>
      <c r="Y396" s="18">
        <v>2</v>
      </c>
      <c r="Z396" s="18">
        <v>0</v>
      </c>
      <c r="AA396" s="18">
        <v>0</v>
      </c>
      <c r="AB396" s="18">
        <v>3</v>
      </c>
      <c r="AC396" s="18">
        <v>0</v>
      </c>
      <c r="AD396" s="18">
        <v>6</v>
      </c>
      <c r="AE396" s="18">
        <v>1</v>
      </c>
      <c r="AN396" s="3">
        <f t="shared" si="16"/>
        <v>12</v>
      </c>
      <c r="AO396" s="3">
        <v>9</v>
      </c>
      <c r="AP396" s="3">
        <v>3</v>
      </c>
      <c r="AR396" s="2" t="s">
        <v>88</v>
      </c>
    </row>
    <row r="397" spans="1:44" ht="12.75" customHeight="1">
      <c r="A397" s="5">
        <v>37014</v>
      </c>
      <c r="B397" s="2" t="s">
        <v>152</v>
      </c>
      <c r="C397" s="2" t="s">
        <v>2213</v>
      </c>
      <c r="E397" s="18">
        <v>0</v>
      </c>
      <c r="F397" s="18">
        <v>2</v>
      </c>
      <c r="G397" s="18">
        <v>0</v>
      </c>
      <c r="H397" s="18">
        <v>0</v>
      </c>
      <c r="I397" s="18">
        <v>0</v>
      </c>
      <c r="J397" s="18">
        <v>5</v>
      </c>
      <c r="K397" s="18">
        <v>0</v>
      </c>
      <c r="T397" s="3">
        <f t="shared" si="15"/>
        <v>7</v>
      </c>
      <c r="U397" s="3">
        <v>8</v>
      </c>
      <c r="V397" s="3">
        <v>2</v>
      </c>
      <c r="X397" s="2" t="s">
        <v>20</v>
      </c>
      <c r="Y397" s="18">
        <v>0</v>
      </c>
      <c r="Z397" s="18">
        <v>2</v>
      </c>
      <c r="AA397" s="18">
        <v>0</v>
      </c>
      <c r="AB397" s="18">
        <v>0</v>
      </c>
      <c r="AC397" s="18">
        <v>2</v>
      </c>
      <c r="AD397" s="18">
        <v>1</v>
      </c>
      <c r="AE397" s="18">
        <v>0</v>
      </c>
      <c r="AN397" s="3">
        <f t="shared" si="16"/>
        <v>5</v>
      </c>
      <c r="AO397" s="3">
        <v>8</v>
      </c>
      <c r="AP397" s="3">
        <v>0</v>
      </c>
      <c r="AR397" s="2" t="s">
        <v>113</v>
      </c>
    </row>
    <row r="398" spans="1:44" ht="12.75" customHeight="1">
      <c r="A398" s="8">
        <v>37383</v>
      </c>
      <c r="C398" s="2" t="s">
        <v>2213</v>
      </c>
      <c r="E398" s="18">
        <v>3</v>
      </c>
      <c r="F398" s="18">
        <v>6</v>
      </c>
      <c r="G398" s="18">
        <v>5</v>
      </c>
      <c r="H398" s="18">
        <v>3</v>
      </c>
      <c r="I398" s="18" t="s">
        <v>162</v>
      </c>
      <c r="T398" s="3">
        <f t="shared" si="15"/>
        <v>17</v>
      </c>
      <c r="U398" s="3">
        <v>20</v>
      </c>
      <c r="V398" s="3">
        <v>2</v>
      </c>
      <c r="X398" s="2" t="s">
        <v>105</v>
      </c>
      <c r="Y398" s="18">
        <v>0</v>
      </c>
      <c r="Z398" s="18">
        <v>1</v>
      </c>
      <c r="AA398" s="18">
        <v>1</v>
      </c>
      <c r="AB398" s="18">
        <v>1</v>
      </c>
      <c r="AC398" s="18">
        <v>0</v>
      </c>
      <c r="AN398" s="3">
        <f t="shared" si="16"/>
        <v>3</v>
      </c>
      <c r="AO398" s="3">
        <v>5</v>
      </c>
      <c r="AP398" s="3">
        <v>2</v>
      </c>
      <c r="AR398" s="2" t="s">
        <v>2381</v>
      </c>
    </row>
    <row r="399" spans="1:44" ht="12.75" customHeight="1">
      <c r="A399" s="8">
        <v>37747</v>
      </c>
      <c r="B399" s="2" t="s">
        <v>152</v>
      </c>
      <c r="C399" s="2" t="s">
        <v>2213</v>
      </c>
      <c r="E399" s="18">
        <v>0</v>
      </c>
      <c r="F399" s="18">
        <v>0</v>
      </c>
      <c r="G399" s="18">
        <v>1</v>
      </c>
      <c r="H399" s="18">
        <v>0</v>
      </c>
      <c r="I399" s="18">
        <v>2</v>
      </c>
      <c r="J399" s="18">
        <v>0</v>
      </c>
      <c r="T399" s="3">
        <f t="shared" si="15"/>
        <v>3</v>
      </c>
      <c r="U399" s="3">
        <v>8</v>
      </c>
      <c r="V399" s="3">
        <v>0</v>
      </c>
      <c r="X399" s="2" t="s">
        <v>585</v>
      </c>
      <c r="Y399" s="18">
        <v>0</v>
      </c>
      <c r="Z399" s="18">
        <v>0</v>
      </c>
      <c r="AA399" s="18">
        <v>0</v>
      </c>
      <c r="AB399" s="18">
        <v>0</v>
      </c>
      <c r="AC399" s="18">
        <v>1</v>
      </c>
      <c r="AD399" s="18">
        <v>0</v>
      </c>
      <c r="AN399" s="3">
        <f t="shared" si="16"/>
        <v>1</v>
      </c>
      <c r="AO399" s="3">
        <v>3</v>
      </c>
      <c r="AP399" s="3">
        <v>0</v>
      </c>
      <c r="AR399" s="2" t="s">
        <v>586</v>
      </c>
    </row>
    <row r="400" spans="1:44" ht="12.75" customHeight="1">
      <c r="A400" s="5">
        <v>38114</v>
      </c>
      <c r="C400" s="2" t="s">
        <v>2213</v>
      </c>
      <c r="E400" s="18">
        <v>0</v>
      </c>
      <c r="F400" s="18">
        <v>1</v>
      </c>
      <c r="G400" s="18">
        <v>0</v>
      </c>
      <c r="H400" s="18">
        <v>2</v>
      </c>
      <c r="I400" s="18">
        <v>0</v>
      </c>
      <c r="J400" s="18">
        <v>0</v>
      </c>
      <c r="K400" s="18">
        <v>1</v>
      </c>
      <c r="T400" s="3">
        <f t="shared" si="15"/>
        <v>4</v>
      </c>
      <c r="U400" s="3">
        <v>9</v>
      </c>
      <c r="V400" s="3">
        <v>5</v>
      </c>
      <c r="X400" s="2" t="s">
        <v>601</v>
      </c>
      <c r="Y400" s="18">
        <v>0</v>
      </c>
      <c r="Z400" s="18">
        <v>0</v>
      </c>
      <c r="AA400" s="18">
        <v>0</v>
      </c>
      <c r="AB400" s="18">
        <v>0</v>
      </c>
      <c r="AC400" s="18">
        <v>2</v>
      </c>
      <c r="AD400" s="18">
        <v>1</v>
      </c>
      <c r="AE400" s="18">
        <v>0</v>
      </c>
      <c r="AN400" s="3">
        <f t="shared" si="16"/>
        <v>3</v>
      </c>
      <c r="AO400" s="3">
        <v>5</v>
      </c>
      <c r="AP400" s="3">
        <v>1</v>
      </c>
      <c r="AR400" s="2" t="s">
        <v>602</v>
      </c>
    </row>
    <row r="401" spans="1:44" ht="12.75" customHeight="1">
      <c r="A401" s="5">
        <f>DATE(2005,5,4)</f>
        <v>38476</v>
      </c>
      <c r="B401" s="2" t="s">
        <v>152</v>
      </c>
      <c r="C401" s="2" t="s">
        <v>2213</v>
      </c>
      <c r="E401" s="18">
        <v>0</v>
      </c>
      <c r="F401" s="18">
        <v>0</v>
      </c>
      <c r="G401" s="18">
        <v>0</v>
      </c>
      <c r="H401" s="18">
        <v>0</v>
      </c>
      <c r="I401" s="18">
        <v>3</v>
      </c>
      <c r="J401" s="18">
        <v>0</v>
      </c>
      <c r="K401" s="18">
        <v>1</v>
      </c>
      <c r="T401" s="3">
        <f t="shared" si="15"/>
        <v>4</v>
      </c>
      <c r="U401" s="3">
        <v>5</v>
      </c>
      <c r="V401" s="3">
        <v>0</v>
      </c>
      <c r="X401" s="2" t="s">
        <v>540</v>
      </c>
      <c r="Y401" s="18">
        <v>4</v>
      </c>
      <c r="Z401" s="18">
        <v>0</v>
      </c>
      <c r="AA401" s="18">
        <v>1</v>
      </c>
      <c r="AB401" s="18">
        <v>0</v>
      </c>
      <c r="AC401" s="18">
        <v>0</v>
      </c>
      <c r="AD401" s="18">
        <v>5</v>
      </c>
      <c r="AN401" s="3">
        <f t="shared" si="16"/>
        <v>10</v>
      </c>
      <c r="AO401" s="3">
        <v>12</v>
      </c>
      <c r="AP401" s="3">
        <v>3</v>
      </c>
      <c r="AR401" s="2" t="s">
        <v>555</v>
      </c>
    </row>
    <row r="402" spans="1:44" ht="12.75" customHeight="1">
      <c r="A402" s="5">
        <v>38842</v>
      </c>
      <c r="C402" s="2" t="s">
        <v>2213</v>
      </c>
      <c r="E402" s="18">
        <v>3</v>
      </c>
      <c r="F402" s="18">
        <v>3</v>
      </c>
      <c r="G402" s="18">
        <v>4</v>
      </c>
      <c r="H402" s="18">
        <v>0</v>
      </c>
      <c r="I402" s="18">
        <v>1</v>
      </c>
      <c r="T402" s="3">
        <f t="shared" si="15"/>
        <v>11</v>
      </c>
      <c r="U402" s="3">
        <v>14</v>
      </c>
      <c r="V402" s="3">
        <v>1</v>
      </c>
      <c r="X402" s="2" t="s">
        <v>1683</v>
      </c>
      <c r="Y402" s="18">
        <v>0</v>
      </c>
      <c r="Z402" s="18">
        <v>0</v>
      </c>
      <c r="AA402" s="18">
        <v>0</v>
      </c>
      <c r="AB402" s="18">
        <v>1</v>
      </c>
      <c r="AC402" s="18">
        <v>0</v>
      </c>
      <c r="AN402" s="3">
        <f t="shared" si="16"/>
        <v>1</v>
      </c>
      <c r="AO402" s="3">
        <v>6</v>
      </c>
      <c r="AP402" s="3">
        <v>3</v>
      </c>
      <c r="AR402" s="2" t="s">
        <v>1674</v>
      </c>
    </row>
    <row r="403" spans="1:44" ht="12.75" customHeight="1">
      <c r="A403" s="5">
        <v>39219</v>
      </c>
      <c r="B403" s="2" t="s">
        <v>152</v>
      </c>
      <c r="C403" s="2" t="s">
        <v>2213</v>
      </c>
      <c r="E403" s="18">
        <v>2</v>
      </c>
      <c r="F403" s="18">
        <v>0</v>
      </c>
      <c r="G403" s="18">
        <v>0</v>
      </c>
      <c r="H403" s="18">
        <v>3</v>
      </c>
      <c r="I403" s="18">
        <v>0</v>
      </c>
      <c r="J403" s="18">
        <v>0</v>
      </c>
      <c r="K403" s="18">
        <v>0</v>
      </c>
      <c r="T403" s="3">
        <f t="shared" si="15"/>
        <v>5</v>
      </c>
      <c r="U403" s="3">
        <v>3</v>
      </c>
      <c r="V403" s="3">
        <v>0</v>
      </c>
      <c r="X403" s="2" t="s">
        <v>477</v>
      </c>
      <c r="Y403" s="18">
        <v>0</v>
      </c>
      <c r="Z403" s="18">
        <v>0</v>
      </c>
      <c r="AA403" s="18">
        <v>0</v>
      </c>
      <c r="AB403" s="18">
        <v>1</v>
      </c>
      <c r="AC403" s="18">
        <v>0</v>
      </c>
      <c r="AD403" s="18">
        <v>0</v>
      </c>
      <c r="AE403" s="18">
        <v>0</v>
      </c>
      <c r="AN403" s="3">
        <f t="shared" si="16"/>
        <v>1</v>
      </c>
      <c r="AO403" s="3">
        <v>4</v>
      </c>
      <c r="AP403" s="3">
        <v>2</v>
      </c>
      <c r="AR403" s="2" t="s">
        <v>481</v>
      </c>
    </row>
    <row r="404" spans="1:44" ht="12.75" customHeight="1">
      <c r="A404" s="5">
        <v>39555</v>
      </c>
      <c r="C404" s="2" t="s">
        <v>2213</v>
      </c>
      <c r="E404" s="18">
        <v>0</v>
      </c>
      <c r="F404" s="18">
        <v>0</v>
      </c>
      <c r="G404" s="18">
        <v>0</v>
      </c>
      <c r="H404" s="18">
        <v>2</v>
      </c>
      <c r="I404" s="18">
        <v>0</v>
      </c>
      <c r="J404" s="18">
        <v>0</v>
      </c>
      <c r="T404" s="3">
        <f t="shared" si="15"/>
        <v>2</v>
      </c>
      <c r="U404" s="3">
        <v>3</v>
      </c>
      <c r="V404" s="3">
        <v>4</v>
      </c>
      <c r="X404" s="2" t="s">
        <v>1756</v>
      </c>
      <c r="Y404" s="18">
        <v>0</v>
      </c>
      <c r="Z404" s="18">
        <v>3</v>
      </c>
      <c r="AA404" s="18">
        <v>2</v>
      </c>
      <c r="AB404" s="18">
        <v>2</v>
      </c>
      <c r="AC404" s="18">
        <v>3</v>
      </c>
      <c r="AD404" s="18">
        <v>6</v>
      </c>
      <c r="AN404" s="3">
        <f t="shared" si="16"/>
        <v>16</v>
      </c>
      <c r="AO404" s="3">
        <v>13</v>
      </c>
      <c r="AP404" s="3">
        <v>2</v>
      </c>
      <c r="AR404" s="2" t="s">
        <v>1757</v>
      </c>
    </row>
    <row r="405" spans="1:44" ht="12.75" customHeight="1">
      <c r="A405" s="5">
        <v>40648</v>
      </c>
      <c r="B405" s="2" t="s">
        <v>152</v>
      </c>
      <c r="C405" s="2" t="s">
        <v>2213</v>
      </c>
      <c r="E405" s="18">
        <v>2</v>
      </c>
      <c r="F405" s="18">
        <v>0</v>
      </c>
      <c r="G405" s="18">
        <v>1</v>
      </c>
      <c r="H405" s="18">
        <v>2</v>
      </c>
      <c r="I405" s="18">
        <v>1</v>
      </c>
      <c r="J405" s="18">
        <v>0</v>
      </c>
      <c r="K405" s="18">
        <v>0</v>
      </c>
      <c r="T405" s="3">
        <f t="shared" si="15"/>
        <v>6</v>
      </c>
      <c r="U405" s="3">
        <v>5</v>
      </c>
      <c r="V405" s="3">
        <v>4</v>
      </c>
      <c r="X405" s="2" t="s">
        <v>1964</v>
      </c>
      <c r="Y405" s="18">
        <v>0</v>
      </c>
      <c r="Z405" s="18">
        <v>1</v>
      </c>
      <c r="AA405" s="18">
        <v>1</v>
      </c>
      <c r="AB405" s="18">
        <v>2</v>
      </c>
      <c r="AC405" s="18">
        <v>1</v>
      </c>
      <c r="AD405" s="18">
        <v>2</v>
      </c>
      <c r="AE405" s="18" t="s">
        <v>162</v>
      </c>
      <c r="AN405" s="3">
        <f t="shared" si="16"/>
        <v>7</v>
      </c>
      <c r="AO405" s="3">
        <v>6</v>
      </c>
      <c r="AP405" s="3">
        <v>2</v>
      </c>
      <c r="AR405" s="2" t="s">
        <v>1961</v>
      </c>
    </row>
    <row r="406" spans="1:44" ht="12.75" customHeight="1">
      <c r="A406" s="5">
        <v>40672</v>
      </c>
      <c r="C406" s="2" t="s">
        <v>2213</v>
      </c>
      <c r="E406" s="18">
        <v>0</v>
      </c>
      <c r="F406" s="18">
        <v>0</v>
      </c>
      <c r="G406" s="18">
        <v>0</v>
      </c>
      <c r="H406" s="18">
        <v>0</v>
      </c>
      <c r="I406" s="18">
        <v>5</v>
      </c>
      <c r="J406" s="18">
        <v>0</v>
      </c>
      <c r="T406" s="3">
        <f t="shared" si="15"/>
        <v>5</v>
      </c>
      <c r="U406" s="3">
        <v>6</v>
      </c>
      <c r="V406" s="3">
        <v>7</v>
      </c>
      <c r="X406" s="2" t="s">
        <v>1474</v>
      </c>
      <c r="Y406" s="18">
        <v>1</v>
      </c>
      <c r="Z406" s="18">
        <v>1</v>
      </c>
      <c r="AA406" s="18">
        <v>3</v>
      </c>
      <c r="AB406" s="18">
        <v>2</v>
      </c>
      <c r="AC406" s="18">
        <v>2</v>
      </c>
      <c r="AD406" s="18">
        <v>7</v>
      </c>
      <c r="AN406" s="3">
        <f t="shared" si="16"/>
        <v>16</v>
      </c>
      <c r="AO406" s="3">
        <v>18</v>
      </c>
      <c r="AP406" s="3">
        <v>0</v>
      </c>
      <c r="AR406" s="2" t="s">
        <v>1981</v>
      </c>
    </row>
    <row r="407" spans="1:44" ht="12.75" customHeight="1">
      <c r="A407" s="5">
        <v>41015</v>
      </c>
      <c r="C407" s="2" t="s">
        <v>2213</v>
      </c>
      <c r="E407" s="18">
        <v>0</v>
      </c>
      <c r="F407" s="18">
        <v>0</v>
      </c>
      <c r="G407" s="18">
        <v>1</v>
      </c>
      <c r="H407" s="18">
        <v>0</v>
      </c>
      <c r="I407" s="18">
        <v>0</v>
      </c>
      <c r="J407" s="18">
        <v>1</v>
      </c>
      <c r="K407" s="18">
        <v>1</v>
      </c>
      <c r="T407" s="3">
        <f t="shared" si="15"/>
        <v>3</v>
      </c>
      <c r="U407" s="3">
        <v>6</v>
      </c>
      <c r="V407" s="3">
        <v>3</v>
      </c>
      <c r="X407" s="2" t="s">
        <v>2041</v>
      </c>
      <c r="Y407" s="18">
        <v>0</v>
      </c>
      <c r="Z407" s="18">
        <v>3</v>
      </c>
      <c r="AA407" s="18">
        <v>0</v>
      </c>
      <c r="AB407" s="18">
        <v>6</v>
      </c>
      <c r="AC407" s="18">
        <v>0</v>
      </c>
      <c r="AD407" s="18">
        <v>0</v>
      </c>
      <c r="AE407" s="18">
        <v>1</v>
      </c>
      <c r="AN407" s="3">
        <f t="shared" si="16"/>
        <v>10</v>
      </c>
      <c r="AO407" s="3">
        <v>13</v>
      </c>
      <c r="AP407" s="3">
        <v>5</v>
      </c>
      <c r="AR407" s="2" t="s">
        <v>2042</v>
      </c>
    </row>
    <row r="408" spans="1:44" ht="12.75" customHeight="1">
      <c r="A408" s="5">
        <v>41393</v>
      </c>
      <c r="B408" s="2" t="s">
        <v>152</v>
      </c>
      <c r="C408" s="2" t="s">
        <v>2213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T408" s="3">
        <f t="shared" si="15"/>
        <v>0</v>
      </c>
      <c r="U408" s="3">
        <v>3</v>
      </c>
      <c r="V408" s="3">
        <v>3</v>
      </c>
      <c r="X408" s="2" t="s">
        <v>2094</v>
      </c>
      <c r="Y408" s="18">
        <v>4</v>
      </c>
      <c r="Z408" s="18">
        <v>1</v>
      </c>
      <c r="AA408" s="18">
        <v>2</v>
      </c>
      <c r="AB408" s="18">
        <v>1</v>
      </c>
      <c r="AC408" s="18">
        <v>2</v>
      </c>
      <c r="AN408" s="3">
        <f t="shared" si="16"/>
        <v>10</v>
      </c>
      <c r="AO408" s="3">
        <v>12</v>
      </c>
      <c r="AP408" s="3">
        <v>3</v>
      </c>
      <c r="AR408" s="2" t="s">
        <v>2095</v>
      </c>
    </row>
    <row r="409" spans="1:44" ht="12.75" customHeight="1">
      <c r="A409" s="4">
        <f>DATE(79,6,15)</f>
        <v>29021</v>
      </c>
      <c r="B409" s="2" t="s">
        <v>239</v>
      </c>
      <c r="C409" s="2" t="s">
        <v>282</v>
      </c>
      <c r="D409" s="2" t="s">
        <v>260</v>
      </c>
      <c r="E409" s="18">
        <v>0</v>
      </c>
      <c r="F409" s="18">
        <v>0</v>
      </c>
      <c r="G409" s="18">
        <v>0</v>
      </c>
      <c r="H409" s="18">
        <v>1</v>
      </c>
      <c r="I409" s="18">
        <v>0</v>
      </c>
      <c r="J409" s="18">
        <v>0</v>
      </c>
      <c r="K409" s="18">
        <v>1</v>
      </c>
      <c r="T409" s="3">
        <v>2</v>
      </c>
      <c r="U409" s="3">
        <v>4</v>
      </c>
      <c r="V409" s="3">
        <v>2</v>
      </c>
      <c r="X409" s="2" t="s">
        <v>1230</v>
      </c>
      <c r="Y409" s="18">
        <v>3</v>
      </c>
      <c r="Z409" s="18">
        <v>2</v>
      </c>
      <c r="AA409" s="18">
        <v>0</v>
      </c>
      <c r="AB409" s="18">
        <v>2</v>
      </c>
      <c r="AC409" s="18">
        <v>0</v>
      </c>
      <c r="AD409" s="18">
        <v>2</v>
      </c>
      <c r="AE409" s="18" t="s">
        <v>162</v>
      </c>
      <c r="AN409" s="3">
        <v>9</v>
      </c>
      <c r="AO409" s="3">
        <v>6</v>
      </c>
      <c r="AP409" s="3">
        <v>3</v>
      </c>
      <c r="AR409" s="2" t="s">
        <v>1231</v>
      </c>
    </row>
    <row r="410" spans="1:44" ht="12.75" customHeight="1">
      <c r="A410" s="4">
        <f>DATE(80,4,3)</f>
        <v>29314</v>
      </c>
      <c r="B410" s="2" t="s">
        <v>152</v>
      </c>
      <c r="C410" s="2" t="s">
        <v>1240</v>
      </c>
      <c r="E410" s="18">
        <v>1</v>
      </c>
      <c r="F410" s="18">
        <v>1</v>
      </c>
      <c r="G410" s="18">
        <v>1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T410" s="3">
        <v>3</v>
      </c>
      <c r="U410" s="3">
        <v>4</v>
      </c>
      <c r="V410" s="3">
        <v>4</v>
      </c>
      <c r="X410" s="2" t="s">
        <v>1241</v>
      </c>
      <c r="Y410" s="18">
        <v>0</v>
      </c>
      <c r="Z410" s="18">
        <v>0</v>
      </c>
      <c r="AA410" s="18">
        <v>0</v>
      </c>
      <c r="AB410" s="18">
        <v>1</v>
      </c>
      <c r="AC410" s="18">
        <v>0</v>
      </c>
      <c r="AD410" s="18">
        <v>1</v>
      </c>
      <c r="AE410" s="18">
        <v>1</v>
      </c>
      <c r="AF410" s="18">
        <v>1</v>
      </c>
      <c r="AN410" s="3">
        <v>4</v>
      </c>
      <c r="AO410" s="3">
        <v>3</v>
      </c>
      <c r="AP410" s="3">
        <v>1</v>
      </c>
      <c r="AR410" s="2" t="s">
        <v>285</v>
      </c>
    </row>
    <row r="411" spans="1:44" ht="12.75" customHeight="1">
      <c r="A411" s="4">
        <f>DATE(84,3,30)</f>
        <v>30771</v>
      </c>
      <c r="B411" s="2" t="s">
        <v>152</v>
      </c>
      <c r="C411" s="2" t="s">
        <v>1240</v>
      </c>
      <c r="E411" s="18">
        <v>2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2</v>
      </c>
      <c r="T411" s="3">
        <v>4</v>
      </c>
      <c r="U411" s="3">
        <v>9</v>
      </c>
      <c r="V411" s="3">
        <v>1</v>
      </c>
      <c r="X411" s="2" t="s">
        <v>1446</v>
      </c>
      <c r="Y411" s="18">
        <v>0</v>
      </c>
      <c r="Z411" s="18">
        <v>0</v>
      </c>
      <c r="AA411" s="18">
        <v>1</v>
      </c>
      <c r="AB411" s="18">
        <v>0</v>
      </c>
      <c r="AC411" s="18">
        <v>0</v>
      </c>
      <c r="AD411" s="18">
        <v>0</v>
      </c>
      <c r="AE411" s="18">
        <v>1</v>
      </c>
      <c r="AN411" s="3">
        <v>2</v>
      </c>
      <c r="AO411" s="3">
        <v>7</v>
      </c>
      <c r="AP411" s="3">
        <v>2</v>
      </c>
      <c r="AR411" s="2" t="s">
        <v>315</v>
      </c>
    </row>
    <row r="412" spans="1:44" ht="12.75" customHeight="1">
      <c r="A412" s="4">
        <f>DATE(83,4,19)</f>
        <v>30425</v>
      </c>
      <c r="C412" s="2" t="s">
        <v>388</v>
      </c>
      <c r="E412" s="18">
        <v>4</v>
      </c>
      <c r="F412" s="18">
        <v>2</v>
      </c>
      <c r="G412" s="18">
        <v>8</v>
      </c>
      <c r="H412" s="18">
        <v>1</v>
      </c>
      <c r="I412" s="18" t="s">
        <v>162</v>
      </c>
      <c r="T412" s="3">
        <v>15</v>
      </c>
      <c r="U412" s="3">
        <v>18</v>
      </c>
      <c r="V412" s="3">
        <v>1</v>
      </c>
      <c r="X412" s="2" t="s">
        <v>1366</v>
      </c>
      <c r="Y412" s="18">
        <v>1</v>
      </c>
      <c r="Z412" s="18">
        <v>1</v>
      </c>
      <c r="AA412" s="18">
        <v>0</v>
      </c>
      <c r="AB412" s="18">
        <v>0</v>
      </c>
      <c r="AC412" s="18">
        <v>0</v>
      </c>
      <c r="AN412" s="3">
        <v>2</v>
      </c>
      <c r="AO412" s="3">
        <v>2</v>
      </c>
      <c r="AP412" s="3">
        <v>1</v>
      </c>
      <c r="AR412" s="2" t="s">
        <v>1408</v>
      </c>
    </row>
    <row r="413" spans="1:44" ht="12.75" customHeight="1">
      <c r="A413" s="4">
        <f>DATE(83,5,12)</f>
        <v>30448</v>
      </c>
      <c r="B413" s="2" t="s">
        <v>152</v>
      </c>
      <c r="C413" s="2" t="s">
        <v>388</v>
      </c>
      <c r="E413" s="18">
        <v>3</v>
      </c>
      <c r="F413" s="18">
        <v>5</v>
      </c>
      <c r="G413" s="18">
        <v>3</v>
      </c>
      <c r="H413" s="18">
        <v>2</v>
      </c>
      <c r="I413" s="18">
        <v>3</v>
      </c>
      <c r="J413" s="18">
        <v>1</v>
      </c>
      <c r="K413" s="18">
        <v>0</v>
      </c>
      <c r="T413" s="3">
        <v>17</v>
      </c>
      <c r="U413" s="3">
        <v>17</v>
      </c>
      <c r="V413" s="3">
        <v>4</v>
      </c>
      <c r="X413" s="2" t="s">
        <v>1399</v>
      </c>
      <c r="Y413" s="18">
        <v>0</v>
      </c>
      <c r="Z413" s="18">
        <v>6</v>
      </c>
      <c r="AA413" s="18">
        <v>1</v>
      </c>
      <c r="AB413" s="18">
        <v>0</v>
      </c>
      <c r="AC413" s="18">
        <v>3</v>
      </c>
      <c r="AD413" s="18">
        <v>0</v>
      </c>
      <c r="AE413" s="18">
        <v>0</v>
      </c>
      <c r="AN413" s="3">
        <v>10</v>
      </c>
      <c r="AO413" s="3">
        <v>10</v>
      </c>
      <c r="AP413" s="3">
        <v>5</v>
      </c>
      <c r="AR413" s="2" t="s">
        <v>1434</v>
      </c>
    </row>
    <row r="414" spans="1:44" ht="12.75" customHeight="1">
      <c r="A414" s="4">
        <f>DATE(84,4,19)</f>
        <v>30791</v>
      </c>
      <c r="C414" s="2" t="s">
        <v>388</v>
      </c>
      <c r="E414" s="18">
        <v>10</v>
      </c>
      <c r="F414" s="18">
        <v>4</v>
      </c>
      <c r="G414" s="18">
        <v>0</v>
      </c>
      <c r="H414" s="18">
        <v>0</v>
      </c>
      <c r="I414" s="18" t="s">
        <v>162</v>
      </c>
      <c r="T414" s="3">
        <v>14</v>
      </c>
      <c r="U414" s="3">
        <v>8</v>
      </c>
      <c r="V414" s="3">
        <v>2</v>
      </c>
      <c r="X414" s="2" t="s">
        <v>1410</v>
      </c>
      <c r="Y414" s="18">
        <v>1</v>
      </c>
      <c r="Z414" s="18">
        <v>0</v>
      </c>
      <c r="AA414" s="18">
        <v>2</v>
      </c>
      <c r="AB414" s="18">
        <v>0</v>
      </c>
      <c r="AC414" s="18">
        <v>0</v>
      </c>
      <c r="AN414" s="3">
        <v>3</v>
      </c>
      <c r="AO414" s="3">
        <v>2</v>
      </c>
      <c r="AP414" s="3">
        <v>2</v>
      </c>
      <c r="AR414" s="2" t="s">
        <v>1459</v>
      </c>
    </row>
    <row r="415" spans="1:44" ht="12.75" customHeight="1">
      <c r="A415" s="4">
        <f>DATE(84,5,15)</f>
        <v>30817</v>
      </c>
      <c r="B415" s="2" t="s">
        <v>152</v>
      </c>
      <c r="C415" s="2" t="s">
        <v>388</v>
      </c>
      <c r="E415" s="18">
        <v>2</v>
      </c>
      <c r="F415" s="18">
        <v>7</v>
      </c>
      <c r="G415" s="18">
        <v>3</v>
      </c>
      <c r="H415" s="18">
        <v>0</v>
      </c>
      <c r="I415" s="18">
        <v>0</v>
      </c>
      <c r="J415" s="18">
        <v>0</v>
      </c>
      <c r="K415" s="18">
        <v>1</v>
      </c>
      <c r="T415" s="3">
        <v>13</v>
      </c>
      <c r="U415" s="3">
        <v>15</v>
      </c>
      <c r="V415" s="3">
        <v>4</v>
      </c>
      <c r="X415" s="2" t="s">
        <v>1378</v>
      </c>
      <c r="Y415" s="18">
        <v>0</v>
      </c>
      <c r="Z415" s="18">
        <v>0</v>
      </c>
      <c r="AA415" s="18">
        <v>1</v>
      </c>
      <c r="AB415" s="18">
        <v>1</v>
      </c>
      <c r="AC415" s="18">
        <v>3</v>
      </c>
      <c r="AD415" s="18">
        <v>0</v>
      </c>
      <c r="AE415" s="18">
        <v>0</v>
      </c>
      <c r="AN415" s="3">
        <v>5</v>
      </c>
      <c r="AO415" s="3">
        <v>4</v>
      </c>
      <c r="AP415" s="3">
        <v>2</v>
      </c>
      <c r="AR415" s="2" t="s">
        <v>322</v>
      </c>
    </row>
    <row r="416" spans="1:44" ht="12.75" customHeight="1">
      <c r="A416" s="4">
        <f>DATE(85,4,25)</f>
        <v>31162</v>
      </c>
      <c r="C416" s="2" t="s">
        <v>388</v>
      </c>
      <c r="E416" s="18">
        <v>3</v>
      </c>
      <c r="F416" s="18">
        <v>3</v>
      </c>
      <c r="G416" s="18">
        <v>4</v>
      </c>
      <c r="H416" s="18">
        <v>4</v>
      </c>
      <c r="I416" s="18" t="s">
        <v>162</v>
      </c>
      <c r="T416" s="3">
        <v>14</v>
      </c>
      <c r="U416" s="3">
        <v>11</v>
      </c>
      <c r="V416" s="3">
        <v>0</v>
      </c>
      <c r="X416" s="2" t="s">
        <v>1490</v>
      </c>
      <c r="Y416" s="18">
        <v>1</v>
      </c>
      <c r="Z416" s="18">
        <v>0</v>
      </c>
      <c r="AA416" s="18">
        <v>0</v>
      </c>
      <c r="AB416" s="18">
        <v>1</v>
      </c>
      <c r="AC416" s="18">
        <v>0</v>
      </c>
      <c r="AN416" s="3">
        <v>2</v>
      </c>
      <c r="AO416" s="3">
        <v>6</v>
      </c>
      <c r="AP416" s="3">
        <v>2</v>
      </c>
      <c r="AR416" s="2" t="s">
        <v>1497</v>
      </c>
    </row>
    <row r="417" spans="1:44" ht="12.75" customHeight="1">
      <c r="A417" s="4">
        <f>DATE(85,5,14)</f>
        <v>31181</v>
      </c>
      <c r="B417" s="2" t="s">
        <v>152</v>
      </c>
      <c r="C417" s="2" t="s">
        <v>388</v>
      </c>
      <c r="E417" s="18">
        <v>0</v>
      </c>
      <c r="F417" s="18">
        <v>0</v>
      </c>
      <c r="G417" s="18">
        <v>1</v>
      </c>
      <c r="H417" s="18">
        <v>2</v>
      </c>
      <c r="I417" s="18">
        <v>0</v>
      </c>
      <c r="J417" s="18">
        <v>3</v>
      </c>
      <c r="K417" s="18">
        <v>3</v>
      </c>
      <c r="T417" s="3">
        <v>9</v>
      </c>
      <c r="U417" s="3">
        <v>10</v>
      </c>
      <c r="V417" s="3">
        <v>2</v>
      </c>
      <c r="X417" s="2" t="s">
        <v>1498</v>
      </c>
      <c r="Y417" s="18"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  <c r="AE417" s="18">
        <v>2</v>
      </c>
      <c r="AN417" s="3">
        <v>2</v>
      </c>
      <c r="AO417" s="3">
        <v>5</v>
      </c>
      <c r="AP417" s="3">
        <v>3</v>
      </c>
      <c r="AR417" s="2" t="s">
        <v>1511</v>
      </c>
    </row>
    <row r="418" spans="1:44" ht="12.75" customHeight="1">
      <c r="A418" s="4">
        <f>DATE(86,4,1)</f>
        <v>31503</v>
      </c>
      <c r="B418" s="2" t="s">
        <v>152</v>
      </c>
      <c r="C418" s="2" t="s">
        <v>388</v>
      </c>
      <c r="E418" s="18">
        <v>0</v>
      </c>
      <c r="F418" s="18">
        <v>3</v>
      </c>
      <c r="G418" s="18">
        <v>1</v>
      </c>
      <c r="H418" s="18">
        <v>0</v>
      </c>
      <c r="I418" s="18">
        <v>0</v>
      </c>
      <c r="J418" s="18">
        <v>2</v>
      </c>
      <c r="K418" s="18">
        <v>0</v>
      </c>
      <c r="T418" s="3">
        <v>6</v>
      </c>
      <c r="U418" s="3">
        <v>4</v>
      </c>
      <c r="V418" s="3">
        <v>3</v>
      </c>
      <c r="X418" s="2" t="s">
        <v>1521</v>
      </c>
      <c r="Y418" s="18">
        <v>0</v>
      </c>
      <c r="Z418" s="18">
        <v>1</v>
      </c>
      <c r="AA418" s="18">
        <v>0</v>
      </c>
      <c r="AB418" s="18">
        <v>1</v>
      </c>
      <c r="AC418" s="18">
        <v>0</v>
      </c>
      <c r="AD418" s="18">
        <v>5</v>
      </c>
      <c r="AE418" s="18" t="s">
        <v>162</v>
      </c>
      <c r="AN418" s="3">
        <v>7</v>
      </c>
      <c r="AO418" s="3">
        <v>8</v>
      </c>
      <c r="AP418" s="3">
        <v>3</v>
      </c>
      <c r="AR418" s="2" t="s">
        <v>1522</v>
      </c>
    </row>
    <row r="419" spans="1:44" ht="12.75" customHeight="1">
      <c r="A419" s="4">
        <f>DATE(86,4,24)</f>
        <v>31526</v>
      </c>
      <c r="C419" s="2" t="s">
        <v>388</v>
      </c>
      <c r="E419" s="18">
        <v>2</v>
      </c>
      <c r="F419" s="18">
        <v>1</v>
      </c>
      <c r="G419" s="18">
        <v>0</v>
      </c>
      <c r="H419" s="18">
        <v>3</v>
      </c>
      <c r="I419" s="18">
        <v>0</v>
      </c>
      <c r="J419" s="18">
        <v>8</v>
      </c>
      <c r="T419" s="3">
        <v>14</v>
      </c>
      <c r="U419" s="3">
        <v>15</v>
      </c>
      <c r="V419" s="3">
        <v>2</v>
      </c>
      <c r="X419" s="2" t="s">
        <v>1528</v>
      </c>
      <c r="Y419" s="18">
        <v>1</v>
      </c>
      <c r="Z419" s="18">
        <v>0</v>
      </c>
      <c r="AA419" s="18">
        <v>1</v>
      </c>
      <c r="AB419" s="18">
        <v>0</v>
      </c>
      <c r="AC419" s="18">
        <v>0</v>
      </c>
      <c r="AD419" s="18">
        <v>2</v>
      </c>
      <c r="AN419" s="3">
        <v>4</v>
      </c>
      <c r="AO419" s="3">
        <v>5</v>
      </c>
      <c r="AP419" s="3">
        <v>5</v>
      </c>
      <c r="AR419" s="2" t="s">
        <v>1534</v>
      </c>
    </row>
    <row r="420" spans="1:44" ht="12.75" customHeight="1">
      <c r="A420" s="4">
        <f>DATE(87,4,10)</f>
        <v>31877</v>
      </c>
      <c r="B420" s="2" t="s">
        <v>237</v>
      </c>
      <c r="C420" s="2" t="s">
        <v>388</v>
      </c>
      <c r="E420" s="18">
        <v>0</v>
      </c>
      <c r="F420" s="18">
        <v>4</v>
      </c>
      <c r="G420" s="18">
        <v>0</v>
      </c>
      <c r="H420" s="18">
        <v>5</v>
      </c>
      <c r="I420" s="18">
        <v>0</v>
      </c>
      <c r="J420" s="18">
        <v>0</v>
      </c>
      <c r="K420" s="18">
        <v>3</v>
      </c>
      <c r="T420" s="3">
        <v>12</v>
      </c>
      <c r="U420" s="3">
        <v>11</v>
      </c>
      <c r="V420" s="3">
        <v>3</v>
      </c>
      <c r="X420" s="2" t="s">
        <v>1559</v>
      </c>
      <c r="Y420" s="18">
        <v>1</v>
      </c>
      <c r="Z420" s="18">
        <v>0</v>
      </c>
      <c r="AA420" s="18">
        <v>3</v>
      </c>
      <c r="AB420" s="18">
        <v>0</v>
      </c>
      <c r="AC420" s="18">
        <v>0</v>
      </c>
      <c r="AD420" s="18">
        <v>0</v>
      </c>
      <c r="AE420" s="18">
        <v>0</v>
      </c>
      <c r="AN420" s="3">
        <v>4</v>
      </c>
      <c r="AO420" s="3">
        <v>10</v>
      </c>
      <c r="AP420" s="3">
        <v>3</v>
      </c>
      <c r="AR420" s="2" t="s">
        <v>1565</v>
      </c>
    </row>
    <row r="421" spans="1:44" ht="12.75" customHeight="1">
      <c r="A421" s="4">
        <f>DATE(87,4,28)</f>
        <v>31895</v>
      </c>
      <c r="C421" s="2" t="s">
        <v>388</v>
      </c>
      <c r="E421" s="18">
        <v>2</v>
      </c>
      <c r="F421" s="18">
        <v>0</v>
      </c>
      <c r="G421" s="18">
        <v>5</v>
      </c>
      <c r="H421" s="18">
        <v>4</v>
      </c>
      <c r="I421" s="18" t="s">
        <v>162</v>
      </c>
      <c r="T421" s="3">
        <v>11</v>
      </c>
      <c r="U421" s="3">
        <v>15</v>
      </c>
      <c r="V421" s="3">
        <v>2</v>
      </c>
      <c r="X421" s="2" t="s">
        <v>1561</v>
      </c>
      <c r="Y421" s="18">
        <v>0</v>
      </c>
      <c r="Z421" s="18">
        <v>0</v>
      </c>
      <c r="AA421" s="18">
        <v>0</v>
      </c>
      <c r="AB421" s="18">
        <v>1</v>
      </c>
      <c r="AC421" s="18">
        <v>0</v>
      </c>
      <c r="AN421" s="3">
        <v>1</v>
      </c>
      <c r="AO421" s="3">
        <v>3</v>
      </c>
      <c r="AP421" s="3">
        <v>1</v>
      </c>
      <c r="AR421" s="2" t="s">
        <v>1577</v>
      </c>
    </row>
    <row r="422" spans="1:44" ht="12.75" customHeight="1">
      <c r="A422" s="4">
        <f>DATE(88,4,12)</f>
        <v>32245</v>
      </c>
      <c r="B422" s="2" t="s">
        <v>152</v>
      </c>
      <c r="C422" s="2" t="s">
        <v>388</v>
      </c>
      <c r="E422" s="18">
        <v>0</v>
      </c>
      <c r="F422" s="18">
        <v>0</v>
      </c>
      <c r="G422" s="18">
        <v>1</v>
      </c>
      <c r="H422" s="18">
        <v>1</v>
      </c>
      <c r="I422" s="18">
        <v>3</v>
      </c>
      <c r="J422" s="18">
        <v>1</v>
      </c>
      <c r="K422" s="18">
        <v>2</v>
      </c>
      <c r="T422" s="3">
        <v>8</v>
      </c>
      <c r="U422" s="3">
        <v>10</v>
      </c>
      <c r="V422" s="3">
        <v>2</v>
      </c>
      <c r="X422" s="2" t="s">
        <v>1605</v>
      </c>
      <c r="Y422" s="18">
        <v>0</v>
      </c>
      <c r="Z422" s="18">
        <v>0</v>
      </c>
      <c r="AA422" s="18">
        <v>1</v>
      </c>
      <c r="AB422" s="18">
        <v>1</v>
      </c>
      <c r="AC422" s="18">
        <v>2</v>
      </c>
      <c r="AD422" s="18">
        <v>0</v>
      </c>
      <c r="AE422" s="18">
        <v>0</v>
      </c>
      <c r="AN422" s="3">
        <v>4</v>
      </c>
      <c r="AO422" s="3">
        <v>8</v>
      </c>
      <c r="AP422" s="3">
        <v>4</v>
      </c>
      <c r="AR422" s="2" t="s">
        <v>1606</v>
      </c>
    </row>
    <row r="423" spans="1:44" ht="12.75" customHeight="1">
      <c r="A423" s="4">
        <f>DATE(88,5,11)</f>
        <v>32274</v>
      </c>
      <c r="C423" s="2" t="s">
        <v>388</v>
      </c>
      <c r="E423" s="18">
        <v>0</v>
      </c>
      <c r="F423" s="18">
        <v>0</v>
      </c>
      <c r="G423" s="18">
        <v>2</v>
      </c>
      <c r="H423" s="18">
        <v>0</v>
      </c>
      <c r="I423" s="18">
        <v>3</v>
      </c>
      <c r="J423" s="18">
        <v>4</v>
      </c>
      <c r="K423" s="18" t="s">
        <v>162</v>
      </c>
      <c r="T423" s="3">
        <v>9</v>
      </c>
      <c r="U423" s="3">
        <v>8</v>
      </c>
      <c r="V423" s="3">
        <v>0</v>
      </c>
      <c r="X423" s="2" t="s">
        <v>1603</v>
      </c>
      <c r="Y423" s="18">
        <v>1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1</v>
      </c>
      <c r="AN423" s="3">
        <v>2</v>
      </c>
      <c r="AO423" s="3">
        <v>6</v>
      </c>
      <c r="AP423" s="3">
        <v>1</v>
      </c>
      <c r="AR423" s="2" t="s">
        <v>1619</v>
      </c>
    </row>
    <row r="424" spans="1:44" ht="12.75" customHeight="1">
      <c r="A424" s="4">
        <f>DATE(67,6,6)</f>
        <v>24629</v>
      </c>
      <c r="B424" s="2" t="s">
        <v>239</v>
      </c>
      <c r="C424" s="2" t="s">
        <v>247</v>
      </c>
      <c r="D424" s="2" t="s">
        <v>243</v>
      </c>
      <c r="E424" s="18">
        <v>0</v>
      </c>
      <c r="F424" s="18">
        <v>1</v>
      </c>
      <c r="G424" s="18">
        <v>1</v>
      </c>
      <c r="H424" s="18">
        <v>0</v>
      </c>
      <c r="I424" s="18">
        <v>0</v>
      </c>
      <c r="J424" s="18">
        <v>1</v>
      </c>
      <c r="K424" s="18">
        <v>0</v>
      </c>
      <c r="T424" s="3">
        <v>3</v>
      </c>
      <c r="U424" s="3">
        <v>6</v>
      </c>
      <c r="V424" s="3">
        <v>2</v>
      </c>
      <c r="X424" s="2" t="s">
        <v>872</v>
      </c>
      <c r="Y424" s="18">
        <v>1</v>
      </c>
      <c r="Z424" s="18">
        <v>0</v>
      </c>
      <c r="AA424" s="18">
        <v>2</v>
      </c>
      <c r="AB424" s="18">
        <v>2</v>
      </c>
      <c r="AC424" s="18">
        <v>0</v>
      </c>
      <c r="AD424" s="18">
        <v>0</v>
      </c>
      <c r="AE424" s="18">
        <v>0</v>
      </c>
      <c r="AN424" s="3">
        <v>5</v>
      </c>
      <c r="AO424" s="3">
        <v>9</v>
      </c>
      <c r="AP424" s="3">
        <v>6</v>
      </c>
      <c r="AR424" s="2" t="s">
        <v>890</v>
      </c>
    </row>
    <row r="425" spans="1:44" ht="12.75" customHeight="1">
      <c r="A425" s="4">
        <f>DATE(71,6,9)</f>
        <v>26093</v>
      </c>
      <c r="B425" s="2" t="s">
        <v>239</v>
      </c>
      <c r="C425" s="2" t="s">
        <v>247</v>
      </c>
      <c r="D425" s="2" t="s">
        <v>243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2</v>
      </c>
      <c r="K425" s="18">
        <v>0</v>
      </c>
      <c r="T425" s="3">
        <v>2</v>
      </c>
      <c r="U425" s="3">
        <v>4</v>
      </c>
      <c r="V425" s="3">
        <v>1</v>
      </c>
      <c r="X425" s="2" t="s">
        <v>966</v>
      </c>
      <c r="Y425" s="18">
        <v>0</v>
      </c>
      <c r="Z425" s="18">
        <v>0</v>
      </c>
      <c r="AA425" s="18">
        <v>0</v>
      </c>
      <c r="AB425" s="18">
        <v>2</v>
      </c>
      <c r="AC425" s="18">
        <v>0</v>
      </c>
      <c r="AD425" s="18">
        <v>0</v>
      </c>
      <c r="AE425" s="18">
        <v>1</v>
      </c>
      <c r="AN425" s="3">
        <v>3</v>
      </c>
      <c r="AO425" s="3">
        <v>6</v>
      </c>
      <c r="AP425" s="3">
        <v>5</v>
      </c>
      <c r="AR425" s="2" t="s">
        <v>967</v>
      </c>
    </row>
    <row r="426" spans="1:44" ht="12.75" customHeight="1">
      <c r="A426" s="4">
        <f>DATE(86,6,5)</f>
        <v>31568</v>
      </c>
      <c r="B426" s="2" t="s">
        <v>239</v>
      </c>
      <c r="C426" s="2" t="s">
        <v>133</v>
      </c>
      <c r="D426" s="2" t="s">
        <v>260</v>
      </c>
      <c r="E426" s="18">
        <v>2</v>
      </c>
      <c r="F426" s="18">
        <v>0</v>
      </c>
      <c r="G426" s="18">
        <v>0</v>
      </c>
      <c r="H426" s="18">
        <v>0</v>
      </c>
      <c r="I426" s="18">
        <v>1</v>
      </c>
      <c r="J426" s="18">
        <v>3</v>
      </c>
      <c r="K426" s="18" t="s">
        <v>162</v>
      </c>
      <c r="T426" s="3">
        <v>6</v>
      </c>
      <c r="U426" s="3">
        <v>8</v>
      </c>
      <c r="V426" s="3">
        <v>2</v>
      </c>
      <c r="X426" s="2" t="s">
        <v>1551</v>
      </c>
      <c r="Y426" s="18">
        <v>2</v>
      </c>
      <c r="Z426" s="18">
        <v>0</v>
      </c>
      <c r="AA426" s="18">
        <v>2</v>
      </c>
      <c r="AB426" s="18">
        <v>0</v>
      </c>
      <c r="AC426" s="18">
        <v>0</v>
      </c>
      <c r="AD426" s="18">
        <v>0</v>
      </c>
      <c r="AE426" s="18">
        <v>0</v>
      </c>
      <c r="AN426" s="3">
        <v>4</v>
      </c>
      <c r="AO426" s="3">
        <v>11</v>
      </c>
      <c r="AP426" s="3">
        <v>1</v>
      </c>
      <c r="AR426" s="2" t="s">
        <v>1552</v>
      </c>
    </row>
    <row r="427" spans="1:44" ht="12.75" customHeight="1">
      <c r="A427" s="4">
        <f>DATE(89,6,8)</f>
        <v>32667</v>
      </c>
      <c r="B427" s="2" t="s">
        <v>239</v>
      </c>
      <c r="C427" s="2" t="s">
        <v>133</v>
      </c>
      <c r="D427" s="2" t="s">
        <v>260</v>
      </c>
      <c r="E427" s="18">
        <v>0</v>
      </c>
      <c r="F427" s="18">
        <v>0</v>
      </c>
      <c r="G427" s="18">
        <v>2</v>
      </c>
      <c r="H427" s="18">
        <v>2</v>
      </c>
      <c r="I427" s="18">
        <v>1</v>
      </c>
      <c r="J427" s="18">
        <v>0</v>
      </c>
      <c r="K427" s="18">
        <v>0</v>
      </c>
      <c r="T427" s="3">
        <v>5</v>
      </c>
      <c r="U427" s="3">
        <v>10</v>
      </c>
      <c r="V427" s="3">
        <v>2</v>
      </c>
      <c r="X427" s="2" t="s">
        <v>1662</v>
      </c>
      <c r="Y427" s="18">
        <v>0</v>
      </c>
      <c r="Z427" s="18">
        <v>0</v>
      </c>
      <c r="AA427" s="18">
        <v>1</v>
      </c>
      <c r="AB427" s="18">
        <v>0</v>
      </c>
      <c r="AC427" s="18">
        <v>3</v>
      </c>
      <c r="AD427" s="18">
        <v>8</v>
      </c>
      <c r="AE427" s="18" t="s">
        <v>162</v>
      </c>
      <c r="AN427" s="3">
        <v>12</v>
      </c>
      <c r="AO427" s="3">
        <v>10</v>
      </c>
      <c r="AP427" s="3">
        <v>3</v>
      </c>
      <c r="AR427" s="2" t="s">
        <v>1664</v>
      </c>
    </row>
    <row r="428" spans="1:44" ht="12.75" customHeight="1">
      <c r="A428" s="4">
        <v>15099</v>
      </c>
      <c r="C428" s="2" t="s">
        <v>327</v>
      </c>
      <c r="E428" s="18">
        <v>4</v>
      </c>
      <c r="F428" s="18">
        <v>4</v>
      </c>
      <c r="G428" s="18">
        <v>0</v>
      </c>
      <c r="H428" s="18">
        <v>0</v>
      </c>
      <c r="I428" s="18">
        <v>1</v>
      </c>
      <c r="J428" s="18">
        <v>2</v>
      </c>
      <c r="K428" s="18" t="s">
        <v>162</v>
      </c>
      <c r="T428" s="3">
        <v>11</v>
      </c>
      <c r="U428" s="3">
        <v>8</v>
      </c>
      <c r="V428" s="3">
        <v>1</v>
      </c>
      <c r="X428" s="2" t="s">
        <v>1750</v>
      </c>
      <c r="Y428" s="18">
        <v>0</v>
      </c>
      <c r="Z428" s="18">
        <v>0</v>
      </c>
      <c r="AA428" s="18">
        <v>0</v>
      </c>
      <c r="AB428" s="18">
        <v>1</v>
      </c>
      <c r="AC428" s="18">
        <v>0</v>
      </c>
      <c r="AD428" s="18">
        <v>1</v>
      </c>
      <c r="AE428" s="18">
        <v>1</v>
      </c>
      <c r="AN428" s="3">
        <v>3</v>
      </c>
      <c r="AO428" s="3">
        <v>7</v>
      </c>
      <c r="AP428" s="3">
        <v>6</v>
      </c>
      <c r="AR428" s="2" t="s">
        <v>46</v>
      </c>
    </row>
    <row r="429" spans="1:44" ht="12.75" customHeight="1">
      <c r="A429" s="4">
        <v>15117</v>
      </c>
      <c r="B429" s="2" t="s">
        <v>152</v>
      </c>
      <c r="C429" s="2" t="s">
        <v>327</v>
      </c>
      <c r="E429" s="18">
        <v>0</v>
      </c>
      <c r="F429" s="18">
        <v>1</v>
      </c>
      <c r="G429" s="18">
        <v>1</v>
      </c>
      <c r="H429" s="18">
        <v>1</v>
      </c>
      <c r="I429" s="18">
        <v>3</v>
      </c>
      <c r="J429" s="18">
        <v>0</v>
      </c>
      <c r="K429" s="18">
        <v>1</v>
      </c>
      <c r="T429" s="3">
        <v>7</v>
      </c>
      <c r="U429" s="3">
        <v>9</v>
      </c>
      <c r="V429" s="3">
        <v>0</v>
      </c>
      <c r="X429" s="2" t="s">
        <v>1749</v>
      </c>
      <c r="Y429" s="18">
        <v>1</v>
      </c>
      <c r="Z429" s="18">
        <v>0</v>
      </c>
      <c r="AA429" s="18">
        <v>0</v>
      </c>
      <c r="AB429" s="18">
        <v>0</v>
      </c>
      <c r="AC429" s="18">
        <v>0</v>
      </c>
      <c r="AD429" s="18">
        <v>2</v>
      </c>
      <c r="AE429" s="18">
        <v>0</v>
      </c>
      <c r="AN429" s="3">
        <v>3</v>
      </c>
      <c r="AO429" s="3">
        <v>7</v>
      </c>
      <c r="AP429" s="3">
        <v>6</v>
      </c>
      <c r="AR429" s="2" t="s">
        <v>50</v>
      </c>
    </row>
    <row r="430" spans="1:44" ht="12.75" customHeight="1">
      <c r="A430" s="4">
        <v>15453</v>
      </c>
      <c r="B430" s="2" t="s">
        <v>152</v>
      </c>
      <c r="C430" s="2" t="s">
        <v>327</v>
      </c>
      <c r="E430" s="18">
        <v>3</v>
      </c>
      <c r="F430" s="18">
        <v>0</v>
      </c>
      <c r="G430" s="18">
        <v>4</v>
      </c>
      <c r="H430" s="18">
        <v>12</v>
      </c>
      <c r="I430" s="18">
        <v>1</v>
      </c>
      <c r="J430" s="18">
        <v>0</v>
      </c>
      <c r="K430" s="18">
        <v>0</v>
      </c>
      <c r="L430" s="18">
        <v>0</v>
      </c>
      <c r="T430" s="3">
        <v>20</v>
      </c>
      <c r="U430" s="3">
        <v>18</v>
      </c>
      <c r="V430" s="3">
        <v>1</v>
      </c>
      <c r="X430" s="2" t="s">
        <v>71</v>
      </c>
      <c r="Y430" s="18">
        <v>0</v>
      </c>
      <c r="Z430" s="18">
        <v>0</v>
      </c>
      <c r="AA430" s="18">
        <v>1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N430" s="3">
        <v>1</v>
      </c>
      <c r="AO430" s="3">
        <v>3</v>
      </c>
      <c r="AP430" s="3">
        <v>6</v>
      </c>
      <c r="AR430" s="2" t="s">
        <v>354</v>
      </c>
    </row>
    <row r="431" spans="1:44" ht="12.75" customHeight="1">
      <c r="A431" s="4">
        <v>15470</v>
      </c>
      <c r="B431" s="2" t="s">
        <v>152</v>
      </c>
      <c r="C431" s="2" t="s">
        <v>327</v>
      </c>
      <c r="E431" s="18">
        <v>0</v>
      </c>
      <c r="F431" s="18">
        <v>1</v>
      </c>
      <c r="G431" s="18">
        <v>0</v>
      </c>
      <c r="H431" s="18">
        <v>2</v>
      </c>
      <c r="I431" s="18">
        <v>0</v>
      </c>
      <c r="J431" s="18">
        <v>0</v>
      </c>
      <c r="K431" s="18">
        <v>3</v>
      </c>
      <c r="L431" s="18">
        <v>6</v>
      </c>
      <c r="T431" s="3">
        <v>12</v>
      </c>
      <c r="U431" s="3" t="s">
        <v>162</v>
      </c>
      <c r="V431" s="3" t="s">
        <v>162</v>
      </c>
      <c r="X431" s="2" t="s">
        <v>67</v>
      </c>
      <c r="Y431" s="18">
        <v>0</v>
      </c>
      <c r="Z431" s="18">
        <v>0</v>
      </c>
      <c r="AA431" s="18">
        <v>1</v>
      </c>
      <c r="AB431" s="18">
        <v>1</v>
      </c>
      <c r="AC431" s="18">
        <v>4</v>
      </c>
      <c r="AD431" s="18">
        <v>0</v>
      </c>
      <c r="AE431" s="18">
        <v>0</v>
      </c>
      <c r="AF431" s="18">
        <v>0</v>
      </c>
      <c r="AN431" s="3">
        <v>6</v>
      </c>
      <c r="AO431" s="3" t="s">
        <v>162</v>
      </c>
      <c r="AP431" s="3" t="s">
        <v>162</v>
      </c>
      <c r="AR431" s="2" t="s">
        <v>365</v>
      </c>
    </row>
    <row r="432" spans="1:44" ht="12.75" customHeight="1">
      <c r="A432" s="4">
        <v>15475</v>
      </c>
      <c r="C432" s="2" t="s">
        <v>327</v>
      </c>
      <c r="E432" s="18">
        <v>3</v>
      </c>
      <c r="F432" s="18">
        <v>0</v>
      </c>
      <c r="G432" s="18">
        <v>0</v>
      </c>
      <c r="H432" s="18">
        <v>1</v>
      </c>
      <c r="I432" s="18">
        <v>0</v>
      </c>
      <c r="J432" s="18">
        <v>2</v>
      </c>
      <c r="K432" s="18">
        <v>0</v>
      </c>
      <c r="L432" s="18">
        <v>0</v>
      </c>
      <c r="M432" s="18">
        <v>0</v>
      </c>
      <c r="N432" s="18">
        <v>1</v>
      </c>
      <c r="O432" s="18">
        <v>1</v>
      </c>
      <c r="T432" s="3">
        <v>8</v>
      </c>
      <c r="U432" s="3" t="s">
        <v>162</v>
      </c>
      <c r="V432" s="3" t="s">
        <v>162</v>
      </c>
      <c r="X432" s="2" t="s">
        <v>62</v>
      </c>
      <c r="Y432" s="18">
        <v>0</v>
      </c>
      <c r="Z432" s="18">
        <v>0</v>
      </c>
      <c r="AA432" s="18">
        <v>2</v>
      </c>
      <c r="AB432" s="18">
        <v>0</v>
      </c>
      <c r="AC432" s="18">
        <v>1</v>
      </c>
      <c r="AD432" s="18">
        <v>3</v>
      </c>
      <c r="AE432" s="18">
        <v>0</v>
      </c>
      <c r="AF432" s="18">
        <v>0</v>
      </c>
      <c r="AG432" s="18">
        <v>0</v>
      </c>
      <c r="AH432" s="18">
        <v>1</v>
      </c>
      <c r="AI432" s="18">
        <v>0</v>
      </c>
      <c r="AN432" s="3">
        <v>7</v>
      </c>
      <c r="AO432" s="3" t="s">
        <v>162</v>
      </c>
      <c r="AP432" s="3" t="s">
        <v>162</v>
      </c>
      <c r="AR432" s="2" t="s">
        <v>365</v>
      </c>
    </row>
    <row r="433" spans="1:44" ht="12.75" customHeight="1">
      <c r="A433" s="4">
        <v>16547</v>
      </c>
      <c r="C433" s="2" t="s">
        <v>327</v>
      </c>
      <c r="T433" s="3">
        <v>2</v>
      </c>
      <c r="U433" s="3" t="s">
        <v>162</v>
      </c>
      <c r="V433" s="3" t="s">
        <v>162</v>
      </c>
      <c r="X433" s="2" t="s">
        <v>27</v>
      </c>
      <c r="AN433" s="3">
        <v>4</v>
      </c>
      <c r="AO433" s="3" t="s">
        <v>162</v>
      </c>
      <c r="AP433" s="3" t="s">
        <v>162</v>
      </c>
      <c r="AR433" s="2" t="s">
        <v>27</v>
      </c>
    </row>
    <row r="434" spans="1:44" ht="12.75" customHeight="1">
      <c r="A434" s="20">
        <v>1945</v>
      </c>
      <c r="C434" s="2" t="s">
        <v>327</v>
      </c>
      <c r="T434" s="3">
        <v>1</v>
      </c>
      <c r="U434" s="3" t="s">
        <v>162</v>
      </c>
      <c r="V434" s="3" t="s">
        <v>162</v>
      </c>
      <c r="X434" s="2" t="s">
        <v>27</v>
      </c>
      <c r="AN434" s="3">
        <v>0</v>
      </c>
      <c r="AO434" s="3" t="s">
        <v>162</v>
      </c>
      <c r="AP434" s="3" t="s">
        <v>162</v>
      </c>
      <c r="AR434" s="2" t="s">
        <v>27</v>
      </c>
    </row>
    <row r="435" spans="1:44" ht="12.75" customHeight="1">
      <c r="A435" s="4">
        <v>17287</v>
      </c>
      <c r="C435" s="2" t="s">
        <v>327</v>
      </c>
      <c r="E435" s="18">
        <v>1</v>
      </c>
      <c r="F435" s="18">
        <v>5</v>
      </c>
      <c r="G435" s="18">
        <v>6</v>
      </c>
      <c r="H435" s="18">
        <v>0</v>
      </c>
      <c r="I435" s="18">
        <v>1</v>
      </c>
      <c r="J435" s="18">
        <v>0</v>
      </c>
      <c r="K435" s="18" t="s">
        <v>162</v>
      </c>
      <c r="T435" s="3">
        <v>13</v>
      </c>
      <c r="U435" s="3">
        <v>9</v>
      </c>
      <c r="V435" s="3">
        <v>10</v>
      </c>
      <c r="X435" s="2" t="s">
        <v>73</v>
      </c>
      <c r="Y435" s="18">
        <v>0</v>
      </c>
      <c r="Z435" s="18">
        <v>0</v>
      </c>
      <c r="AA435" s="18">
        <v>0</v>
      </c>
      <c r="AB435" s="18">
        <v>6</v>
      </c>
      <c r="AC435" s="18">
        <v>0</v>
      </c>
      <c r="AD435" s="18">
        <v>0</v>
      </c>
      <c r="AE435" s="18">
        <v>0</v>
      </c>
      <c r="AN435" s="3">
        <f>SUM(Y435:AH435)</f>
        <v>6</v>
      </c>
      <c r="AO435" s="3">
        <v>4</v>
      </c>
      <c r="AP435" s="3">
        <v>4</v>
      </c>
      <c r="AR435" s="2" t="s">
        <v>355</v>
      </c>
    </row>
    <row r="436" spans="1:44" ht="12.75" customHeight="1">
      <c r="A436" s="4">
        <v>17301</v>
      </c>
      <c r="B436" s="2" t="s">
        <v>152</v>
      </c>
      <c r="C436" s="2" t="s">
        <v>327</v>
      </c>
      <c r="E436" s="18">
        <v>3</v>
      </c>
      <c r="F436" s="18">
        <v>0</v>
      </c>
      <c r="G436" s="18">
        <v>0</v>
      </c>
      <c r="H436" s="18">
        <v>1</v>
      </c>
      <c r="I436" s="18">
        <v>1</v>
      </c>
      <c r="J436" s="18">
        <v>0</v>
      </c>
      <c r="T436" s="3">
        <v>5</v>
      </c>
      <c r="U436" s="3">
        <v>6</v>
      </c>
      <c r="V436" s="3">
        <v>0</v>
      </c>
      <c r="X436" s="2" t="s">
        <v>74</v>
      </c>
      <c r="Y436" s="18">
        <v>0</v>
      </c>
      <c r="Z436" s="18">
        <v>2</v>
      </c>
      <c r="AA436" s="18">
        <v>0</v>
      </c>
      <c r="AB436" s="18">
        <v>0</v>
      </c>
      <c r="AC436" s="18">
        <v>1</v>
      </c>
      <c r="AD436" s="18">
        <v>0</v>
      </c>
      <c r="AN436" s="3">
        <f>SUM(Y436:AH436)</f>
        <v>3</v>
      </c>
      <c r="AO436" s="3">
        <v>3</v>
      </c>
      <c r="AP436" s="3">
        <v>0</v>
      </c>
      <c r="AR436" s="2" t="s">
        <v>359</v>
      </c>
    </row>
    <row r="437" spans="1:44" ht="12.75" customHeight="1">
      <c r="A437" s="4">
        <v>14739</v>
      </c>
      <c r="B437" s="2" t="s">
        <v>152</v>
      </c>
      <c r="C437" s="2" t="s">
        <v>169</v>
      </c>
      <c r="E437" s="18">
        <v>2</v>
      </c>
      <c r="F437" s="18">
        <v>0</v>
      </c>
      <c r="G437" s="18">
        <v>4</v>
      </c>
      <c r="H437" s="18">
        <v>0</v>
      </c>
      <c r="I437" s="18">
        <v>1</v>
      </c>
      <c r="J437" s="18">
        <v>0</v>
      </c>
      <c r="K437" s="18">
        <v>5</v>
      </c>
      <c r="L437" s="18">
        <v>7</v>
      </c>
      <c r="M437" s="18" t="s">
        <v>162</v>
      </c>
      <c r="T437" s="3">
        <v>19</v>
      </c>
      <c r="U437" s="3">
        <v>3</v>
      </c>
      <c r="V437" s="3">
        <v>0</v>
      </c>
      <c r="X437" s="2" t="s">
        <v>56</v>
      </c>
      <c r="Y437" s="18">
        <v>0</v>
      </c>
      <c r="Z437" s="18">
        <v>0</v>
      </c>
      <c r="AA437" s="18">
        <v>0</v>
      </c>
      <c r="AB437" s="18">
        <v>0</v>
      </c>
      <c r="AC437" s="18">
        <v>2</v>
      </c>
      <c r="AD437" s="18">
        <v>0</v>
      </c>
      <c r="AE437" s="18">
        <v>1</v>
      </c>
      <c r="AF437" s="18">
        <v>0</v>
      </c>
      <c r="AG437" s="18">
        <v>0</v>
      </c>
      <c r="AN437" s="3">
        <v>3</v>
      </c>
      <c r="AO437" s="3">
        <v>3</v>
      </c>
      <c r="AP437" s="3">
        <v>0</v>
      </c>
      <c r="AR437" s="2" t="s">
        <v>33</v>
      </c>
    </row>
    <row r="438" spans="1:44" ht="12.75" customHeight="1">
      <c r="A438" s="4">
        <v>14744</v>
      </c>
      <c r="B438" s="2" t="s">
        <v>152</v>
      </c>
      <c r="C438" s="2" t="s">
        <v>169</v>
      </c>
      <c r="E438" s="18">
        <v>0</v>
      </c>
      <c r="F438" s="18">
        <v>0</v>
      </c>
      <c r="G438" s="18">
        <v>3</v>
      </c>
      <c r="H438" s="18">
        <v>0</v>
      </c>
      <c r="I438" s="18">
        <v>0</v>
      </c>
      <c r="J438" s="18">
        <v>4</v>
      </c>
      <c r="K438" s="18">
        <v>0</v>
      </c>
      <c r="L438" s="18">
        <v>2</v>
      </c>
      <c r="M438" s="18">
        <v>4</v>
      </c>
      <c r="T438" s="3">
        <v>13</v>
      </c>
      <c r="U438" s="3">
        <v>15</v>
      </c>
      <c r="V438" s="3">
        <v>0</v>
      </c>
      <c r="X438" s="2" t="s">
        <v>59</v>
      </c>
      <c r="Y438" s="18">
        <v>3</v>
      </c>
      <c r="Z438" s="18">
        <v>0</v>
      </c>
      <c r="AA438" s="18">
        <v>0</v>
      </c>
      <c r="AB438" s="18">
        <v>0</v>
      </c>
      <c r="AC438" s="18">
        <v>1</v>
      </c>
      <c r="AD438" s="18">
        <v>0</v>
      </c>
      <c r="AE438" s="18">
        <v>0</v>
      </c>
      <c r="AF438" s="18">
        <v>0</v>
      </c>
      <c r="AG438" s="18">
        <v>0</v>
      </c>
      <c r="AN438" s="3">
        <v>4</v>
      </c>
      <c r="AO438" s="3">
        <v>4</v>
      </c>
      <c r="AP438" s="3">
        <v>0</v>
      </c>
      <c r="AR438" s="2" t="s">
        <v>35</v>
      </c>
    </row>
    <row r="439" spans="1:44" ht="12.75" customHeight="1">
      <c r="A439" s="4">
        <v>15085</v>
      </c>
      <c r="B439" s="2" t="s">
        <v>152</v>
      </c>
      <c r="C439" s="2" t="s">
        <v>169</v>
      </c>
      <c r="E439" s="18">
        <v>0</v>
      </c>
      <c r="F439" s="18">
        <v>1</v>
      </c>
      <c r="G439" s="18">
        <v>0</v>
      </c>
      <c r="H439" s="18">
        <v>3</v>
      </c>
      <c r="I439" s="18">
        <v>7</v>
      </c>
      <c r="J439" s="18">
        <v>1</v>
      </c>
      <c r="K439" s="18">
        <v>0</v>
      </c>
      <c r="T439" s="3">
        <v>12</v>
      </c>
      <c r="U439" s="3">
        <v>14</v>
      </c>
      <c r="V439" s="3" t="s">
        <v>162</v>
      </c>
      <c r="X439" s="2" t="s">
        <v>60</v>
      </c>
      <c r="Y439" s="18">
        <v>0</v>
      </c>
      <c r="Z439" s="18">
        <v>0</v>
      </c>
      <c r="AA439" s="18">
        <v>0</v>
      </c>
      <c r="AB439" s="18">
        <v>1</v>
      </c>
      <c r="AC439" s="18">
        <v>0</v>
      </c>
      <c r="AD439" s="18">
        <v>0</v>
      </c>
      <c r="AE439" s="18">
        <v>0</v>
      </c>
      <c r="AN439" s="3">
        <v>1</v>
      </c>
      <c r="AO439" s="3">
        <v>4</v>
      </c>
      <c r="AP439" s="3" t="s">
        <v>162</v>
      </c>
      <c r="AR439" s="2" t="s">
        <v>33</v>
      </c>
    </row>
    <row r="440" spans="1:44" ht="12.75" customHeight="1">
      <c r="A440" s="4">
        <v>15103</v>
      </c>
      <c r="C440" s="2" t="s">
        <v>169</v>
      </c>
      <c r="E440" s="18">
        <v>0</v>
      </c>
      <c r="F440" s="18">
        <v>0</v>
      </c>
      <c r="G440" s="18">
        <v>0</v>
      </c>
      <c r="H440" s="18">
        <v>4</v>
      </c>
      <c r="I440" s="18">
        <v>0</v>
      </c>
      <c r="J440" s="18">
        <v>1</v>
      </c>
      <c r="K440" s="18">
        <v>0</v>
      </c>
      <c r="L440" s="18">
        <v>0</v>
      </c>
      <c r="M440" s="18">
        <v>1</v>
      </c>
      <c r="T440" s="3">
        <v>6</v>
      </c>
      <c r="U440" s="3">
        <v>12</v>
      </c>
      <c r="V440" s="3">
        <v>1</v>
      </c>
      <c r="X440" s="2" t="s">
        <v>59</v>
      </c>
      <c r="Y440" s="18">
        <v>0</v>
      </c>
      <c r="Z440" s="18">
        <v>0</v>
      </c>
      <c r="AA440" s="18">
        <v>4</v>
      </c>
      <c r="AB440" s="18">
        <v>0</v>
      </c>
      <c r="AC440" s="18">
        <v>0</v>
      </c>
      <c r="AD440" s="18">
        <v>1</v>
      </c>
      <c r="AE440" s="18">
        <v>0</v>
      </c>
      <c r="AF440" s="18">
        <v>0</v>
      </c>
      <c r="AG440" s="18">
        <v>0</v>
      </c>
      <c r="AN440" s="3">
        <v>5</v>
      </c>
      <c r="AO440" s="3">
        <v>9</v>
      </c>
      <c r="AP440" s="3">
        <v>1</v>
      </c>
      <c r="AR440" s="2" t="s">
        <v>47</v>
      </c>
    </row>
    <row r="441" spans="1:44" ht="12.75" customHeight="1">
      <c r="A441" s="20">
        <v>1945</v>
      </c>
      <c r="C441" s="2" t="s">
        <v>169</v>
      </c>
      <c r="T441" s="3">
        <v>9</v>
      </c>
      <c r="U441" s="3" t="s">
        <v>162</v>
      </c>
      <c r="V441" s="3" t="s">
        <v>162</v>
      </c>
      <c r="X441" s="2" t="s">
        <v>27</v>
      </c>
      <c r="AN441" s="3">
        <v>8</v>
      </c>
      <c r="AO441" s="3" t="s">
        <v>162</v>
      </c>
      <c r="AP441" s="3" t="s">
        <v>162</v>
      </c>
      <c r="AR441" s="2" t="s">
        <v>27</v>
      </c>
    </row>
    <row r="442" spans="1:44" ht="12.75" customHeight="1">
      <c r="A442" s="20">
        <v>1945</v>
      </c>
      <c r="C442" s="2" t="s">
        <v>169</v>
      </c>
      <c r="T442" s="3">
        <v>4</v>
      </c>
      <c r="U442" s="3" t="s">
        <v>162</v>
      </c>
      <c r="V442" s="3" t="s">
        <v>162</v>
      </c>
      <c r="X442" s="2" t="s">
        <v>27</v>
      </c>
      <c r="AN442" s="3">
        <v>2</v>
      </c>
      <c r="AO442" s="3" t="s">
        <v>162</v>
      </c>
      <c r="AP442" s="3" t="s">
        <v>162</v>
      </c>
      <c r="AR442" s="2" t="s">
        <v>27</v>
      </c>
    </row>
    <row r="443" spans="1:44" ht="12.75" customHeight="1">
      <c r="A443" s="20">
        <v>1947</v>
      </c>
      <c r="C443" s="2" t="s">
        <v>169</v>
      </c>
      <c r="T443" s="3">
        <v>5</v>
      </c>
      <c r="U443" s="3" t="s">
        <v>162</v>
      </c>
      <c r="V443" s="3" t="s">
        <v>162</v>
      </c>
      <c r="X443" s="2" t="s">
        <v>27</v>
      </c>
      <c r="AN443" s="3">
        <v>9</v>
      </c>
      <c r="AO443" s="3" t="s">
        <v>162</v>
      </c>
      <c r="AP443" s="3" t="s">
        <v>162</v>
      </c>
      <c r="AR443" s="2" t="s">
        <v>27</v>
      </c>
    </row>
    <row r="444" spans="1:44" ht="12.75" customHeight="1">
      <c r="A444" s="4">
        <v>17289</v>
      </c>
      <c r="B444" s="2" t="s">
        <v>152</v>
      </c>
      <c r="C444" s="2" t="s">
        <v>169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T444" s="3">
        <v>0</v>
      </c>
      <c r="U444" s="3">
        <v>4</v>
      </c>
      <c r="V444" s="3">
        <v>5</v>
      </c>
      <c r="X444" s="2" t="s">
        <v>1752</v>
      </c>
      <c r="Y444" s="18">
        <v>2</v>
      </c>
      <c r="Z444" s="18">
        <v>4</v>
      </c>
      <c r="AA444" s="18">
        <v>0</v>
      </c>
      <c r="AB444" s="18">
        <v>0</v>
      </c>
      <c r="AC444" s="18">
        <v>1</v>
      </c>
      <c r="AD444" s="18">
        <v>0</v>
      </c>
      <c r="AE444" s="18" t="s">
        <v>162</v>
      </c>
      <c r="AN444" s="3">
        <f>SUM(Y444:AH444)</f>
        <v>7</v>
      </c>
      <c r="AO444" s="3">
        <v>8</v>
      </c>
      <c r="AP444" s="3">
        <v>2</v>
      </c>
      <c r="AR444" s="2" t="s">
        <v>347</v>
      </c>
    </row>
    <row r="445" spans="1:44" ht="12.75" customHeight="1">
      <c r="A445" s="20">
        <v>1948</v>
      </c>
      <c r="C445" s="2" t="s">
        <v>169</v>
      </c>
      <c r="E445" s="18">
        <v>0</v>
      </c>
      <c r="F445" s="18">
        <v>0</v>
      </c>
      <c r="G445" s="18">
        <v>2</v>
      </c>
      <c r="H445" s="18">
        <v>0</v>
      </c>
      <c r="I445" s="18">
        <v>0</v>
      </c>
      <c r="J445" s="18">
        <v>0</v>
      </c>
      <c r="K445" s="18">
        <v>0</v>
      </c>
      <c r="T445" s="3">
        <v>2</v>
      </c>
      <c r="U445" s="3">
        <v>4</v>
      </c>
      <c r="V445" s="3">
        <v>2</v>
      </c>
      <c r="X445" s="2" t="s">
        <v>1752</v>
      </c>
      <c r="Y445" s="18">
        <v>1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2</v>
      </c>
      <c r="AN445" s="3">
        <v>3</v>
      </c>
      <c r="AO445" s="3">
        <v>4</v>
      </c>
      <c r="AP445" s="3">
        <v>1</v>
      </c>
      <c r="AR445" s="2" t="s">
        <v>347</v>
      </c>
    </row>
    <row r="446" spans="1:44" ht="12.75" customHeight="1">
      <c r="A446" s="4">
        <f>DATE(53,4,30)</f>
        <v>19479</v>
      </c>
      <c r="B446" s="2" t="s">
        <v>152</v>
      </c>
      <c r="C446" s="2" t="s">
        <v>169</v>
      </c>
      <c r="E446" s="18">
        <v>0</v>
      </c>
      <c r="F446" s="18">
        <v>0</v>
      </c>
      <c r="G446" s="18">
        <v>0</v>
      </c>
      <c r="H446" s="18">
        <v>2</v>
      </c>
      <c r="I446" s="18">
        <v>0</v>
      </c>
      <c r="J446" s="18">
        <v>0</v>
      </c>
      <c r="K446" s="18">
        <v>0</v>
      </c>
      <c r="T446" s="3">
        <f>SUM(E446:M446)</f>
        <v>2</v>
      </c>
      <c r="U446" s="3">
        <v>3</v>
      </c>
      <c r="V446" s="3">
        <v>1</v>
      </c>
      <c r="X446" s="2" t="s">
        <v>646</v>
      </c>
      <c r="Y446" s="18">
        <v>0</v>
      </c>
      <c r="Z446" s="18">
        <v>0</v>
      </c>
      <c r="AA446" s="18">
        <v>1</v>
      </c>
      <c r="AB446" s="18">
        <v>2</v>
      </c>
      <c r="AC446" s="18">
        <v>0</v>
      </c>
      <c r="AD446" s="18">
        <v>1</v>
      </c>
      <c r="AE446" s="18" t="s">
        <v>162</v>
      </c>
      <c r="AN446" s="3">
        <v>4</v>
      </c>
      <c r="AO446" s="3">
        <v>2</v>
      </c>
      <c r="AP446" s="3">
        <v>0</v>
      </c>
      <c r="AR446" s="2" t="s">
        <v>647</v>
      </c>
    </row>
    <row r="447" spans="1:44" ht="12.75" customHeight="1">
      <c r="A447" s="4">
        <f>DATE(53,5,14)</f>
        <v>19493</v>
      </c>
      <c r="C447" s="2" t="s">
        <v>169</v>
      </c>
      <c r="E447" s="18">
        <v>2</v>
      </c>
      <c r="F447" s="18">
        <v>0</v>
      </c>
      <c r="G447" s="18">
        <v>1</v>
      </c>
      <c r="H447" s="18">
        <v>0</v>
      </c>
      <c r="I447" s="18">
        <v>0</v>
      </c>
      <c r="J447" s="18">
        <v>0</v>
      </c>
      <c r="K447" s="18" t="s">
        <v>162</v>
      </c>
      <c r="T447" s="3">
        <f>SUM(E447:M447)</f>
        <v>3</v>
      </c>
      <c r="U447" s="3">
        <v>5</v>
      </c>
      <c r="V447" s="3">
        <v>4</v>
      </c>
      <c r="X447" s="2" t="s">
        <v>649</v>
      </c>
      <c r="Y447" s="18">
        <v>0</v>
      </c>
      <c r="Z447" s="18">
        <v>0</v>
      </c>
      <c r="AA447" s="18">
        <v>0</v>
      </c>
      <c r="AB447" s="18">
        <v>0</v>
      </c>
      <c r="AC447" s="18">
        <v>1</v>
      </c>
      <c r="AD447" s="18">
        <v>0</v>
      </c>
      <c r="AE447" s="18">
        <v>1</v>
      </c>
      <c r="AN447" s="3">
        <v>2</v>
      </c>
      <c r="AO447" s="3">
        <v>7</v>
      </c>
      <c r="AP447" s="3">
        <v>0</v>
      </c>
      <c r="AR447" s="2" t="s">
        <v>652</v>
      </c>
    </row>
    <row r="448" spans="1:44" ht="12.75" customHeight="1">
      <c r="A448" s="4">
        <f>DATE(54,5,6)</f>
        <v>19850</v>
      </c>
      <c r="C448" s="2" t="s">
        <v>169</v>
      </c>
      <c r="E448" s="18">
        <v>0</v>
      </c>
      <c r="F448" s="18">
        <v>1</v>
      </c>
      <c r="G448" s="18">
        <v>0</v>
      </c>
      <c r="H448" s="18">
        <v>7</v>
      </c>
      <c r="I448" s="18">
        <v>0</v>
      </c>
      <c r="J448" s="18">
        <v>3</v>
      </c>
      <c r="K448" s="18" t="s">
        <v>162</v>
      </c>
      <c r="T448" s="3">
        <v>11</v>
      </c>
      <c r="U448" s="3">
        <v>9</v>
      </c>
      <c r="V448" s="3">
        <v>2</v>
      </c>
      <c r="X448" s="2" t="s">
        <v>661</v>
      </c>
      <c r="Y448" s="18">
        <v>1</v>
      </c>
      <c r="Z448" s="18">
        <v>0</v>
      </c>
      <c r="AA448" s="18">
        <v>1</v>
      </c>
      <c r="AB448" s="18">
        <v>0</v>
      </c>
      <c r="AC448" s="18">
        <v>1</v>
      </c>
      <c r="AD448" s="18">
        <v>1</v>
      </c>
      <c r="AE448" s="18">
        <v>0</v>
      </c>
      <c r="AN448" s="3">
        <v>4</v>
      </c>
      <c r="AO448" s="3">
        <v>4</v>
      </c>
      <c r="AP448" s="3">
        <v>5</v>
      </c>
      <c r="AR448" s="2" t="s">
        <v>662</v>
      </c>
    </row>
    <row r="449" spans="1:44" ht="12.75" customHeight="1">
      <c r="A449" s="4">
        <f>DATE(54,5,24)</f>
        <v>19868</v>
      </c>
      <c r="B449" s="2" t="s">
        <v>152</v>
      </c>
      <c r="C449" s="2" t="s">
        <v>169</v>
      </c>
      <c r="E449" s="18">
        <v>2</v>
      </c>
      <c r="F449" s="18">
        <v>1</v>
      </c>
      <c r="G449" s="18">
        <v>1</v>
      </c>
      <c r="H449" s="18">
        <v>2</v>
      </c>
      <c r="I449" s="18">
        <v>0</v>
      </c>
      <c r="J449" s="18">
        <v>0</v>
      </c>
      <c r="K449" s="18">
        <v>0</v>
      </c>
      <c r="T449" s="3">
        <v>6</v>
      </c>
      <c r="U449" s="3">
        <v>9</v>
      </c>
      <c r="V449" s="3">
        <v>3</v>
      </c>
      <c r="X449" s="2" t="s">
        <v>659</v>
      </c>
      <c r="Y449" s="18">
        <v>0</v>
      </c>
      <c r="Z449" s="18">
        <v>0</v>
      </c>
      <c r="AA449" s="18">
        <v>0</v>
      </c>
      <c r="AB449" s="18">
        <v>2</v>
      </c>
      <c r="AC449" s="18">
        <v>2</v>
      </c>
      <c r="AD449" s="18">
        <v>0</v>
      </c>
      <c r="AE449" s="18">
        <v>0</v>
      </c>
      <c r="AN449" s="3">
        <v>4</v>
      </c>
      <c r="AO449" s="3">
        <v>12</v>
      </c>
      <c r="AP449" s="3">
        <v>3</v>
      </c>
      <c r="AR449" s="2" t="s">
        <v>666</v>
      </c>
    </row>
    <row r="450" spans="1:44" ht="12.75" customHeight="1">
      <c r="A450" s="4">
        <f>DATE(55,5,5)</f>
        <v>20214</v>
      </c>
      <c r="B450" s="2" t="s">
        <v>152</v>
      </c>
      <c r="C450" s="2" t="s">
        <v>169</v>
      </c>
      <c r="E450" s="18">
        <v>0</v>
      </c>
      <c r="F450" s="18">
        <v>0</v>
      </c>
      <c r="G450" s="18">
        <v>0</v>
      </c>
      <c r="H450" s="18">
        <v>1</v>
      </c>
      <c r="I450" s="18">
        <v>1</v>
      </c>
      <c r="J450" s="18">
        <v>1</v>
      </c>
      <c r="K450" s="18">
        <v>2</v>
      </c>
      <c r="T450" s="3">
        <v>5</v>
      </c>
      <c r="U450" s="3">
        <v>7</v>
      </c>
      <c r="V450" s="3">
        <v>3</v>
      </c>
      <c r="X450" s="2" t="s">
        <v>663</v>
      </c>
      <c r="Y450" s="18">
        <v>0</v>
      </c>
      <c r="Z450" s="18">
        <v>1</v>
      </c>
      <c r="AA450" s="18">
        <v>0</v>
      </c>
      <c r="AB450" s="18">
        <v>0</v>
      </c>
      <c r="AC450" s="18">
        <v>0</v>
      </c>
      <c r="AD450" s="18">
        <v>0</v>
      </c>
      <c r="AE450" s="18">
        <v>0</v>
      </c>
      <c r="AN450" s="3">
        <v>1</v>
      </c>
      <c r="AO450" s="3">
        <v>2</v>
      </c>
      <c r="AP450" s="3">
        <v>3</v>
      </c>
      <c r="AR450" s="2" t="s">
        <v>662</v>
      </c>
    </row>
    <row r="451" spans="1:44" ht="12.75" customHeight="1">
      <c r="A451" s="4">
        <f>DATE(55,5,24)</f>
        <v>20233</v>
      </c>
      <c r="C451" s="2" t="s">
        <v>169</v>
      </c>
      <c r="E451" s="18">
        <v>0</v>
      </c>
      <c r="F451" s="18">
        <v>1</v>
      </c>
      <c r="G451" s="18">
        <v>2</v>
      </c>
      <c r="H451" s="18">
        <v>0</v>
      </c>
      <c r="I451" s="18">
        <v>2</v>
      </c>
      <c r="J451" s="18">
        <v>0</v>
      </c>
      <c r="K451" s="18">
        <v>0</v>
      </c>
      <c r="T451" s="3">
        <v>5</v>
      </c>
      <c r="U451" s="3">
        <v>7</v>
      </c>
      <c r="V451" s="3">
        <v>3</v>
      </c>
      <c r="X451" s="2" t="s">
        <v>13</v>
      </c>
      <c r="Y451" s="18">
        <v>0</v>
      </c>
      <c r="Z451" s="18">
        <v>1</v>
      </c>
      <c r="AA451" s="18">
        <v>2</v>
      </c>
      <c r="AB451" s="18">
        <v>2</v>
      </c>
      <c r="AC451" s="18">
        <v>3</v>
      </c>
      <c r="AD451" s="18">
        <v>0</v>
      </c>
      <c r="AE451" s="18">
        <v>0</v>
      </c>
      <c r="AN451" s="3">
        <v>8</v>
      </c>
      <c r="AO451" s="3">
        <v>5</v>
      </c>
      <c r="AP451" s="3">
        <v>2</v>
      </c>
      <c r="AR451" s="2" t="s">
        <v>17</v>
      </c>
    </row>
    <row r="452" spans="1:44" ht="12.75" customHeight="1">
      <c r="A452" s="4">
        <f>DATE(56,5,9)</f>
        <v>20584</v>
      </c>
      <c r="B452" s="2" t="s">
        <v>152</v>
      </c>
      <c r="C452" s="2" t="s">
        <v>169</v>
      </c>
      <c r="E452" s="18">
        <v>0</v>
      </c>
      <c r="F452" s="18">
        <v>1</v>
      </c>
      <c r="G452" s="18">
        <v>4</v>
      </c>
      <c r="H452" s="18">
        <v>3</v>
      </c>
      <c r="I452" s="18">
        <v>3</v>
      </c>
      <c r="J452" s="18">
        <v>0</v>
      </c>
      <c r="K452" s="18">
        <v>2</v>
      </c>
      <c r="T452" s="3">
        <v>13</v>
      </c>
      <c r="U452" s="3">
        <v>17</v>
      </c>
      <c r="V452" s="3">
        <v>0</v>
      </c>
      <c r="X452" s="2" t="s">
        <v>674</v>
      </c>
      <c r="Y452" s="18">
        <v>0</v>
      </c>
      <c r="Z452" s="18">
        <v>0</v>
      </c>
      <c r="AA452" s="18">
        <v>0</v>
      </c>
      <c r="AB452" s="18">
        <v>0</v>
      </c>
      <c r="AC452" s="18">
        <v>4</v>
      </c>
      <c r="AD452" s="18">
        <v>0</v>
      </c>
      <c r="AE452" s="18">
        <v>0</v>
      </c>
      <c r="AN452" s="3">
        <v>4</v>
      </c>
      <c r="AO452" s="3">
        <v>6</v>
      </c>
      <c r="AP452" s="3">
        <v>4</v>
      </c>
      <c r="AR452" s="2" t="s">
        <v>683</v>
      </c>
    </row>
    <row r="453" spans="1:44" ht="12.75" customHeight="1">
      <c r="A453" s="4">
        <f>DATE(56,5,21)</f>
        <v>20596</v>
      </c>
      <c r="C453" s="2" t="s">
        <v>169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T453" s="3">
        <v>0</v>
      </c>
      <c r="U453" s="3">
        <v>2</v>
      </c>
      <c r="V453" s="3">
        <v>7</v>
      </c>
      <c r="X453" s="2" t="s">
        <v>689</v>
      </c>
      <c r="Y453" s="18">
        <v>1</v>
      </c>
      <c r="Z453" s="18">
        <v>1</v>
      </c>
      <c r="AA453" s="18">
        <v>2</v>
      </c>
      <c r="AB453" s="18">
        <v>2</v>
      </c>
      <c r="AC453" s="18">
        <v>0</v>
      </c>
      <c r="AD453" s="18">
        <v>0</v>
      </c>
      <c r="AE453" s="18">
        <v>0</v>
      </c>
      <c r="AN453" s="3">
        <v>6</v>
      </c>
      <c r="AO453" s="3">
        <v>7</v>
      </c>
      <c r="AP453" s="3">
        <v>2</v>
      </c>
      <c r="AR453" s="2" t="s">
        <v>690</v>
      </c>
    </row>
    <row r="454" spans="1:44" ht="12.75" customHeight="1">
      <c r="A454" s="4">
        <f>DATE(57,4,26)</f>
        <v>20936</v>
      </c>
      <c r="C454" s="2" t="s">
        <v>169</v>
      </c>
      <c r="E454" s="18">
        <v>0</v>
      </c>
      <c r="F454" s="18">
        <v>0</v>
      </c>
      <c r="G454" s="18">
        <v>4</v>
      </c>
      <c r="H454" s="18">
        <v>0</v>
      </c>
      <c r="I454" s="18">
        <v>0</v>
      </c>
      <c r="J454" s="18">
        <v>1</v>
      </c>
      <c r="K454" s="18" t="s">
        <v>162</v>
      </c>
      <c r="T454" s="3">
        <v>5</v>
      </c>
      <c r="U454" s="3">
        <v>7</v>
      </c>
      <c r="V454" s="3">
        <v>1</v>
      </c>
      <c r="X454" s="2" t="s">
        <v>682</v>
      </c>
      <c r="Y454" s="18">
        <v>2</v>
      </c>
      <c r="Z454" s="18">
        <v>1</v>
      </c>
      <c r="AA454" s="18">
        <v>0</v>
      </c>
      <c r="AB454" s="18">
        <v>0</v>
      </c>
      <c r="AC454" s="18">
        <v>0</v>
      </c>
      <c r="AD454" s="18">
        <v>0</v>
      </c>
      <c r="AE454" s="18">
        <v>0</v>
      </c>
      <c r="AN454" s="3">
        <v>3</v>
      </c>
      <c r="AO454" s="3">
        <v>8</v>
      </c>
      <c r="AP454" s="3">
        <v>1</v>
      </c>
      <c r="AR454" s="2" t="s">
        <v>691</v>
      </c>
    </row>
    <row r="455" spans="1:44" ht="12.75" customHeight="1">
      <c r="A455" s="4">
        <f>DATE(57,5,17)</f>
        <v>20957</v>
      </c>
      <c r="B455" s="2" t="s">
        <v>152</v>
      </c>
      <c r="C455" s="2" t="s">
        <v>169</v>
      </c>
      <c r="E455" s="18">
        <v>3</v>
      </c>
      <c r="F455" s="18">
        <v>0</v>
      </c>
      <c r="G455" s="18">
        <v>0</v>
      </c>
      <c r="H455" s="18">
        <v>0</v>
      </c>
      <c r="I455" s="18">
        <v>1</v>
      </c>
      <c r="J455" s="18">
        <v>0</v>
      </c>
      <c r="K455" s="18">
        <v>0</v>
      </c>
      <c r="T455" s="3">
        <v>4</v>
      </c>
      <c r="U455" s="3">
        <v>7</v>
      </c>
      <c r="V455" s="3">
        <v>4</v>
      </c>
      <c r="X455" s="2" t="s">
        <v>674</v>
      </c>
      <c r="Y455" s="18">
        <v>1</v>
      </c>
      <c r="Z455" s="18">
        <v>0</v>
      </c>
      <c r="AA455" s="18">
        <v>2</v>
      </c>
      <c r="AB455" s="18">
        <v>0</v>
      </c>
      <c r="AC455" s="18">
        <v>0</v>
      </c>
      <c r="AD455" s="18">
        <v>0</v>
      </c>
      <c r="AE455" s="18">
        <v>2</v>
      </c>
      <c r="AN455" s="3">
        <v>5</v>
      </c>
      <c r="AO455" s="3">
        <v>7</v>
      </c>
      <c r="AP455" s="3">
        <v>4</v>
      </c>
      <c r="AR455" s="2" t="s">
        <v>18</v>
      </c>
    </row>
    <row r="456" spans="1:44" ht="12.75" customHeight="1">
      <c r="A456" s="4">
        <f>DATE(58,4,25)</f>
        <v>21300</v>
      </c>
      <c r="C456" s="2" t="s">
        <v>169</v>
      </c>
      <c r="E456" s="18">
        <v>2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T456" s="3">
        <v>2</v>
      </c>
      <c r="U456" s="3">
        <v>2</v>
      </c>
      <c r="V456" s="3">
        <v>2</v>
      </c>
      <c r="X456" s="2" t="s">
        <v>702</v>
      </c>
      <c r="Y456" s="18">
        <v>0</v>
      </c>
      <c r="Z456" s="18">
        <v>1</v>
      </c>
      <c r="AA456" s="18">
        <v>0</v>
      </c>
      <c r="AB456" s="18">
        <v>3</v>
      </c>
      <c r="AC456" s="18">
        <v>0</v>
      </c>
      <c r="AD456" s="18">
        <v>1</v>
      </c>
      <c r="AE456" s="18">
        <v>3</v>
      </c>
      <c r="AN456" s="3">
        <v>8</v>
      </c>
      <c r="AO456" s="3">
        <v>8</v>
      </c>
      <c r="AP456" s="3">
        <v>1</v>
      </c>
      <c r="AR456" s="2" t="s">
        <v>703</v>
      </c>
    </row>
    <row r="457" spans="1:44" ht="12.75" customHeight="1">
      <c r="A457" s="4">
        <f>DATE(58,5,16)</f>
        <v>21321</v>
      </c>
      <c r="B457" s="2" t="s">
        <v>152</v>
      </c>
      <c r="C457" s="2" t="s">
        <v>169</v>
      </c>
      <c r="E457" s="18">
        <v>0</v>
      </c>
      <c r="F457" s="18">
        <v>0</v>
      </c>
      <c r="G457" s="18">
        <v>3</v>
      </c>
      <c r="H457" s="18">
        <v>0</v>
      </c>
      <c r="I457" s="18">
        <v>1</v>
      </c>
      <c r="J457" s="18">
        <v>0</v>
      </c>
      <c r="K457" s="18">
        <v>0</v>
      </c>
      <c r="T457" s="3">
        <v>4</v>
      </c>
      <c r="U457" s="3">
        <v>7</v>
      </c>
      <c r="V457" s="3">
        <v>1</v>
      </c>
      <c r="X457" s="2" t="s">
        <v>700</v>
      </c>
      <c r="Y457" s="18">
        <v>0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  <c r="AE457" s="18">
        <v>0</v>
      </c>
      <c r="AN457" s="3">
        <v>0</v>
      </c>
      <c r="AO457" s="3">
        <v>3</v>
      </c>
      <c r="AP457" s="3">
        <v>0</v>
      </c>
      <c r="AR457" s="2" t="s">
        <v>2408</v>
      </c>
    </row>
    <row r="458" spans="1:44" ht="12.75" customHeight="1">
      <c r="A458" s="4">
        <f>DATE(59,5,18)</f>
        <v>21688</v>
      </c>
      <c r="C458" s="2" t="s">
        <v>169</v>
      </c>
      <c r="E458" s="18">
        <v>0</v>
      </c>
      <c r="F458" s="18">
        <v>0</v>
      </c>
      <c r="G458" s="18">
        <v>1</v>
      </c>
      <c r="H458" s="18">
        <v>0</v>
      </c>
      <c r="I458" s="18">
        <v>2</v>
      </c>
      <c r="J458" s="18">
        <v>0</v>
      </c>
      <c r="K458" s="18">
        <v>0</v>
      </c>
      <c r="T458" s="3">
        <v>3</v>
      </c>
      <c r="U458" s="3">
        <v>2</v>
      </c>
      <c r="V458" s="3">
        <v>2</v>
      </c>
      <c r="X458" s="2" t="s">
        <v>700</v>
      </c>
      <c r="Y458" s="18">
        <v>0</v>
      </c>
      <c r="Z458" s="18">
        <v>1</v>
      </c>
      <c r="AA458" s="18">
        <v>0</v>
      </c>
      <c r="AB458" s="18">
        <v>0</v>
      </c>
      <c r="AC458" s="18">
        <v>1</v>
      </c>
      <c r="AD458" s="18">
        <v>2</v>
      </c>
      <c r="AE458" s="18">
        <v>0</v>
      </c>
      <c r="AN458" s="3">
        <v>4</v>
      </c>
      <c r="AO458" s="3">
        <v>5</v>
      </c>
      <c r="AP458" s="3">
        <v>2</v>
      </c>
      <c r="AR458" s="2" t="s">
        <v>726</v>
      </c>
    </row>
    <row r="459" spans="1:44" ht="12.75" customHeight="1">
      <c r="A459" s="4">
        <f>DATE(60,5,5)</f>
        <v>22041</v>
      </c>
      <c r="C459" s="2" t="s">
        <v>169</v>
      </c>
      <c r="E459" s="18">
        <v>0</v>
      </c>
      <c r="F459" s="18">
        <v>0</v>
      </c>
      <c r="G459" s="18">
        <v>0</v>
      </c>
      <c r="H459" s="18">
        <v>1</v>
      </c>
      <c r="I459" s="18">
        <v>0</v>
      </c>
      <c r="J459" s="18">
        <v>0</v>
      </c>
      <c r="K459" s="18">
        <v>0</v>
      </c>
      <c r="T459" s="3">
        <v>1</v>
      </c>
      <c r="U459" s="3">
        <v>1</v>
      </c>
      <c r="V459" s="3">
        <v>2</v>
      </c>
      <c r="X459" s="2" t="s">
        <v>713</v>
      </c>
      <c r="Y459" s="18">
        <v>3</v>
      </c>
      <c r="Z459" s="18">
        <v>0</v>
      </c>
      <c r="AA459" s="18">
        <v>1</v>
      </c>
      <c r="AB459" s="18">
        <v>0</v>
      </c>
      <c r="AC459" s="18">
        <v>0</v>
      </c>
      <c r="AD459" s="18">
        <v>0</v>
      </c>
      <c r="AE459" s="18">
        <v>0</v>
      </c>
      <c r="AN459" s="3">
        <v>4</v>
      </c>
      <c r="AO459" s="3">
        <v>6</v>
      </c>
      <c r="AP459" s="3">
        <v>4</v>
      </c>
      <c r="AR459" s="2" t="s">
        <v>726</v>
      </c>
    </row>
    <row r="460" spans="1:44" ht="12.75" customHeight="1">
      <c r="A460" s="4">
        <f>DATE(60,5,19)</f>
        <v>22055</v>
      </c>
      <c r="B460" s="2" t="s">
        <v>152</v>
      </c>
      <c r="C460" s="2" t="s">
        <v>169</v>
      </c>
      <c r="E460" s="18">
        <v>2</v>
      </c>
      <c r="F460" s="18">
        <v>1</v>
      </c>
      <c r="G460" s="18">
        <v>1</v>
      </c>
      <c r="H460" s="18">
        <v>1</v>
      </c>
      <c r="I460" s="18">
        <v>2</v>
      </c>
      <c r="J460" s="18">
        <v>0</v>
      </c>
      <c r="K460" s="18">
        <v>0</v>
      </c>
      <c r="T460" s="3">
        <v>7</v>
      </c>
      <c r="U460" s="3">
        <v>12</v>
      </c>
      <c r="V460" s="3">
        <v>2</v>
      </c>
      <c r="X460" s="2" t="s">
        <v>740</v>
      </c>
      <c r="Y460" s="18">
        <v>1</v>
      </c>
      <c r="Z460" s="18">
        <v>0</v>
      </c>
      <c r="AA460" s="18">
        <v>2</v>
      </c>
      <c r="AB460" s="18">
        <v>0</v>
      </c>
      <c r="AC460" s="18">
        <v>8</v>
      </c>
      <c r="AD460" s="18">
        <v>0</v>
      </c>
      <c r="AE460" s="18" t="s">
        <v>162</v>
      </c>
      <c r="AN460" s="3">
        <v>11</v>
      </c>
      <c r="AO460" s="3">
        <v>5</v>
      </c>
      <c r="AP460" s="3">
        <v>3</v>
      </c>
      <c r="AR460" s="2" t="s">
        <v>741</v>
      </c>
    </row>
    <row r="461" spans="1:44" ht="12.75" customHeight="1">
      <c r="A461" s="4">
        <f>DATE(61,5,1)</f>
        <v>22402</v>
      </c>
      <c r="C461" s="2" t="s">
        <v>169</v>
      </c>
      <c r="E461" s="18">
        <v>0</v>
      </c>
      <c r="F461" s="18">
        <v>0</v>
      </c>
      <c r="G461" s="18">
        <v>0</v>
      </c>
      <c r="H461" s="18">
        <v>3</v>
      </c>
      <c r="I461" s="18">
        <v>0</v>
      </c>
      <c r="J461" s="18">
        <v>1</v>
      </c>
      <c r="K461" s="18">
        <v>0</v>
      </c>
      <c r="T461" s="3">
        <v>4</v>
      </c>
      <c r="U461" s="3">
        <v>5</v>
      </c>
      <c r="V461" s="3">
        <v>3</v>
      </c>
      <c r="X461" s="2" t="s">
        <v>748</v>
      </c>
      <c r="Y461" s="18">
        <v>2</v>
      </c>
      <c r="Z461" s="18">
        <v>0</v>
      </c>
      <c r="AA461" s="18">
        <v>0</v>
      </c>
      <c r="AB461" s="18">
        <v>0</v>
      </c>
      <c r="AC461" s="18">
        <v>0</v>
      </c>
      <c r="AD461" s="18">
        <v>1</v>
      </c>
      <c r="AE461" s="18">
        <v>0</v>
      </c>
      <c r="AN461" s="3">
        <v>3</v>
      </c>
      <c r="AO461" s="3">
        <v>4</v>
      </c>
      <c r="AP461" s="3">
        <v>2</v>
      </c>
      <c r="AR461" s="2" t="s">
        <v>749</v>
      </c>
    </row>
    <row r="462" spans="1:44" ht="12.75" customHeight="1">
      <c r="A462" s="4">
        <f>DATE(61,5,11)</f>
        <v>22412</v>
      </c>
      <c r="B462" s="2" t="s">
        <v>152</v>
      </c>
      <c r="C462" s="2" t="s">
        <v>169</v>
      </c>
      <c r="E462" s="18">
        <v>0</v>
      </c>
      <c r="F462" s="18">
        <v>1</v>
      </c>
      <c r="G462" s="18">
        <v>2</v>
      </c>
      <c r="H462" s="18">
        <v>0</v>
      </c>
      <c r="I462" s="18">
        <v>0</v>
      </c>
      <c r="J462" s="18">
        <v>0</v>
      </c>
      <c r="K462" s="18">
        <v>0</v>
      </c>
      <c r="T462" s="3">
        <v>3</v>
      </c>
      <c r="U462" s="3">
        <v>6</v>
      </c>
      <c r="V462" s="3">
        <v>4</v>
      </c>
      <c r="X462" s="2" t="s">
        <v>720</v>
      </c>
      <c r="Y462" s="18">
        <v>0</v>
      </c>
      <c r="Z462" s="18">
        <v>0</v>
      </c>
      <c r="AA462" s="18">
        <v>4</v>
      </c>
      <c r="AB462" s="18">
        <v>1</v>
      </c>
      <c r="AC462" s="18">
        <v>0</v>
      </c>
      <c r="AD462" s="18">
        <v>0</v>
      </c>
      <c r="AE462" s="18" t="s">
        <v>162</v>
      </c>
      <c r="AN462" s="3">
        <v>5</v>
      </c>
      <c r="AO462" s="3">
        <v>4</v>
      </c>
      <c r="AP462" s="3">
        <v>2</v>
      </c>
      <c r="AR462" s="2" t="s">
        <v>756</v>
      </c>
    </row>
    <row r="463" spans="1:44" ht="12.75" customHeight="1">
      <c r="A463" s="4">
        <f>DATE(62,4,11)</f>
        <v>22747</v>
      </c>
      <c r="C463" s="2" t="s">
        <v>169</v>
      </c>
      <c r="E463" s="18">
        <v>2</v>
      </c>
      <c r="F463" s="18">
        <v>1</v>
      </c>
      <c r="G463" s="18">
        <v>0</v>
      </c>
      <c r="H463" s="18">
        <v>0</v>
      </c>
      <c r="I463" s="18">
        <v>0</v>
      </c>
      <c r="J463" s="18">
        <v>0</v>
      </c>
      <c r="K463" s="18" t="s">
        <v>162</v>
      </c>
      <c r="T463" s="3">
        <v>3</v>
      </c>
      <c r="U463" s="3">
        <v>6</v>
      </c>
      <c r="V463" s="3">
        <v>0</v>
      </c>
      <c r="X463" s="2" t="s">
        <v>788</v>
      </c>
      <c r="Y463" s="18">
        <v>0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N463" s="3">
        <v>0</v>
      </c>
      <c r="AO463" s="3">
        <v>5</v>
      </c>
      <c r="AP463" s="3">
        <v>1</v>
      </c>
      <c r="AR463" s="2" t="s">
        <v>790</v>
      </c>
    </row>
    <row r="464" spans="1:44" ht="12.75" customHeight="1">
      <c r="A464" s="4">
        <f>DATE(62,5,10)</f>
        <v>22776</v>
      </c>
      <c r="B464" s="2" t="s">
        <v>152</v>
      </c>
      <c r="C464" s="2" t="s">
        <v>169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3</v>
      </c>
      <c r="K464" s="18">
        <v>0</v>
      </c>
      <c r="T464" s="3">
        <v>3</v>
      </c>
      <c r="U464" s="3">
        <v>5</v>
      </c>
      <c r="V464" s="3">
        <v>3</v>
      </c>
      <c r="X464" s="2" t="s">
        <v>797</v>
      </c>
      <c r="Y464" s="18">
        <v>3</v>
      </c>
      <c r="Z464" s="18">
        <v>0</v>
      </c>
      <c r="AA464" s="18">
        <v>0</v>
      </c>
      <c r="AB464" s="18">
        <v>0</v>
      </c>
      <c r="AC464" s="18">
        <v>0</v>
      </c>
      <c r="AD464" s="18">
        <v>4</v>
      </c>
      <c r="AE464" s="18" t="s">
        <v>162</v>
      </c>
      <c r="AN464" s="3">
        <v>7</v>
      </c>
      <c r="AO464" s="3">
        <v>9</v>
      </c>
      <c r="AP464" s="3">
        <v>2</v>
      </c>
      <c r="AR464" s="2" t="s">
        <v>798</v>
      </c>
    </row>
    <row r="465" spans="1:44" ht="12.75" customHeight="1">
      <c r="A465" s="4">
        <f>DATE(63,4,19)</f>
        <v>23120</v>
      </c>
      <c r="B465" s="2" t="s">
        <v>152</v>
      </c>
      <c r="C465" s="2" t="s">
        <v>169</v>
      </c>
      <c r="E465" s="18">
        <v>1</v>
      </c>
      <c r="F465" s="18">
        <v>2</v>
      </c>
      <c r="G465" s="18">
        <v>0</v>
      </c>
      <c r="H465" s="18">
        <v>0</v>
      </c>
      <c r="I465" s="18">
        <v>0</v>
      </c>
      <c r="J465" s="18">
        <v>5</v>
      </c>
      <c r="K465" s="18">
        <v>0</v>
      </c>
      <c r="T465" s="3">
        <v>8</v>
      </c>
      <c r="U465" s="3">
        <v>7</v>
      </c>
      <c r="V465" s="3">
        <v>2</v>
      </c>
      <c r="X465" s="2" t="s">
        <v>806</v>
      </c>
      <c r="Y465" s="18">
        <v>0</v>
      </c>
      <c r="Z465" s="18">
        <v>0</v>
      </c>
      <c r="AA465" s="18">
        <v>0</v>
      </c>
      <c r="AB465" s="18">
        <v>0</v>
      </c>
      <c r="AC465" s="18">
        <v>1</v>
      </c>
      <c r="AD465" s="18">
        <v>0</v>
      </c>
      <c r="AE465" s="18">
        <v>0</v>
      </c>
      <c r="AN465" s="3">
        <v>1</v>
      </c>
      <c r="AO465" s="3">
        <v>3</v>
      </c>
      <c r="AP465" s="3">
        <v>5</v>
      </c>
      <c r="AR465" s="2" t="s">
        <v>807</v>
      </c>
    </row>
    <row r="466" spans="1:44" ht="12.75" customHeight="1">
      <c r="A466" s="4">
        <f>DATE(63,5,9)</f>
        <v>23140</v>
      </c>
      <c r="C466" s="2" t="s">
        <v>169</v>
      </c>
      <c r="E466" s="18">
        <v>1</v>
      </c>
      <c r="F466" s="18">
        <v>2</v>
      </c>
      <c r="G466" s="18">
        <v>0</v>
      </c>
      <c r="H466" s="18">
        <v>2</v>
      </c>
      <c r="I466" s="18">
        <v>0</v>
      </c>
      <c r="J466" s="18">
        <v>0</v>
      </c>
      <c r="K466" s="18" t="s">
        <v>162</v>
      </c>
      <c r="T466" s="3">
        <v>5</v>
      </c>
      <c r="U466" s="3">
        <v>7</v>
      </c>
      <c r="V466" s="3">
        <v>3</v>
      </c>
      <c r="X466" s="2" t="s">
        <v>820</v>
      </c>
      <c r="Y466" s="18">
        <v>0</v>
      </c>
      <c r="Z466" s="18">
        <v>0</v>
      </c>
      <c r="AA466" s="18">
        <v>0</v>
      </c>
      <c r="AB466" s="18">
        <v>2</v>
      </c>
      <c r="AC466" s="18">
        <v>0</v>
      </c>
      <c r="AD466" s="18">
        <v>0</v>
      </c>
      <c r="AE466" s="18">
        <v>0</v>
      </c>
      <c r="AN466" s="3">
        <v>2</v>
      </c>
      <c r="AO466" s="3">
        <v>4</v>
      </c>
      <c r="AP466" s="3">
        <v>4</v>
      </c>
      <c r="AR466" s="2" t="s">
        <v>821</v>
      </c>
    </row>
    <row r="467" spans="1:44" ht="12.75" customHeight="1">
      <c r="A467" s="4">
        <f>DATE(64,4,17)</f>
        <v>23484</v>
      </c>
      <c r="C467" s="2" t="s">
        <v>169</v>
      </c>
      <c r="E467" s="18">
        <v>0</v>
      </c>
      <c r="F467" s="18">
        <v>1</v>
      </c>
      <c r="G467" s="18">
        <v>1</v>
      </c>
      <c r="H467" s="18">
        <v>0</v>
      </c>
      <c r="I467" s="18">
        <v>0</v>
      </c>
      <c r="J467" s="18">
        <v>0</v>
      </c>
      <c r="K467" s="18">
        <v>1</v>
      </c>
      <c r="T467" s="3">
        <v>3</v>
      </c>
      <c r="U467" s="3">
        <v>4</v>
      </c>
      <c r="V467" s="3">
        <v>2</v>
      </c>
      <c r="X467" s="2" t="s">
        <v>828</v>
      </c>
      <c r="Y467" s="18">
        <v>2</v>
      </c>
      <c r="Z467" s="18">
        <v>0</v>
      </c>
      <c r="AA467" s="18">
        <v>0</v>
      </c>
      <c r="AB467" s="18">
        <v>1</v>
      </c>
      <c r="AC467" s="18">
        <v>1</v>
      </c>
      <c r="AD467" s="18">
        <v>0</v>
      </c>
      <c r="AE467" s="18">
        <v>0</v>
      </c>
      <c r="AN467" s="3">
        <v>4</v>
      </c>
      <c r="AO467" s="3">
        <v>4</v>
      </c>
      <c r="AP467" s="3">
        <v>3</v>
      </c>
      <c r="AR467" s="2" t="s">
        <v>798</v>
      </c>
    </row>
    <row r="468" spans="1:44" ht="12.75" customHeight="1">
      <c r="A468" s="4">
        <f>DATE(64,5,5)</f>
        <v>23502</v>
      </c>
      <c r="B468" s="2" t="s">
        <v>152</v>
      </c>
      <c r="C468" s="2" t="s">
        <v>169</v>
      </c>
      <c r="E468" s="18">
        <v>0</v>
      </c>
      <c r="F468" s="18">
        <v>0</v>
      </c>
      <c r="G468" s="18">
        <v>1</v>
      </c>
      <c r="H468" s="18">
        <v>0</v>
      </c>
      <c r="I468" s="18">
        <v>0</v>
      </c>
      <c r="J468" s="18">
        <v>0</v>
      </c>
      <c r="K468" s="18">
        <v>0</v>
      </c>
      <c r="T468" s="3">
        <v>1</v>
      </c>
      <c r="U468" s="3">
        <v>4</v>
      </c>
      <c r="V468" s="3">
        <v>2</v>
      </c>
      <c r="X468" s="2" t="s">
        <v>834</v>
      </c>
      <c r="Y468" s="18">
        <v>0</v>
      </c>
      <c r="Z468" s="18">
        <v>0</v>
      </c>
      <c r="AA468" s="18">
        <v>4</v>
      </c>
      <c r="AB468" s="18">
        <v>2</v>
      </c>
      <c r="AC468" s="18">
        <v>1</v>
      </c>
      <c r="AD468" s="18">
        <v>1</v>
      </c>
      <c r="AE468" s="18" t="s">
        <v>162</v>
      </c>
      <c r="AN468" s="3">
        <v>8</v>
      </c>
      <c r="AO468" s="3">
        <v>8</v>
      </c>
      <c r="AP468" s="3">
        <v>3</v>
      </c>
      <c r="AR468" s="2" t="s">
        <v>798</v>
      </c>
    </row>
    <row r="469" spans="1:44" ht="12.75" customHeight="1">
      <c r="A469" s="4">
        <f>DATE(65,4,29)</f>
        <v>23861</v>
      </c>
      <c r="B469" s="2" t="s">
        <v>152</v>
      </c>
      <c r="C469" s="2" t="s">
        <v>169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6</v>
      </c>
      <c r="T469" s="3">
        <v>6</v>
      </c>
      <c r="U469" s="3">
        <v>3</v>
      </c>
      <c r="V469" s="3">
        <v>2</v>
      </c>
      <c r="X469" s="2" t="s">
        <v>845</v>
      </c>
      <c r="Y469" s="18">
        <v>3</v>
      </c>
      <c r="Z469" s="18">
        <v>0</v>
      </c>
      <c r="AA469" s="18">
        <v>1</v>
      </c>
      <c r="AB469" s="18">
        <v>1</v>
      </c>
      <c r="AC469" s="18">
        <v>0</v>
      </c>
      <c r="AD469" s="18">
        <v>3</v>
      </c>
      <c r="AE469" s="18" t="s">
        <v>162</v>
      </c>
      <c r="AN469" s="3">
        <v>8</v>
      </c>
      <c r="AO469" s="3">
        <v>12</v>
      </c>
      <c r="AP469" s="3">
        <v>1</v>
      </c>
      <c r="AR469" s="2" t="s">
        <v>798</v>
      </c>
    </row>
    <row r="470" spans="1:44" ht="12.75" customHeight="1">
      <c r="A470" s="4">
        <f>DATE(65,5,4)</f>
        <v>23866</v>
      </c>
      <c r="C470" s="2" t="s">
        <v>169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2</v>
      </c>
      <c r="K470" s="18">
        <v>0</v>
      </c>
      <c r="T470" s="3">
        <v>2</v>
      </c>
      <c r="U470" s="3">
        <v>4</v>
      </c>
      <c r="V470" s="3">
        <v>5</v>
      </c>
      <c r="X470" s="2" t="s">
        <v>846</v>
      </c>
      <c r="Y470" s="18">
        <v>1</v>
      </c>
      <c r="Z470" s="18">
        <v>0</v>
      </c>
      <c r="AA470" s="18">
        <v>1</v>
      </c>
      <c r="AB470" s="18">
        <v>0</v>
      </c>
      <c r="AC470" s="18">
        <v>3</v>
      </c>
      <c r="AD470" s="18">
        <v>0</v>
      </c>
      <c r="AE470" s="18">
        <v>2</v>
      </c>
      <c r="AN470" s="3">
        <v>7</v>
      </c>
      <c r="AO470" s="3">
        <v>7</v>
      </c>
      <c r="AP470" s="3">
        <v>3</v>
      </c>
      <c r="AR470" s="2" t="s">
        <v>798</v>
      </c>
    </row>
    <row r="471" spans="1:44" ht="12.75" customHeight="1">
      <c r="A471" s="4">
        <f>DATE(65,5,30)</f>
        <v>23892</v>
      </c>
      <c r="B471" s="2" t="s">
        <v>239</v>
      </c>
      <c r="C471" s="2" t="s">
        <v>169</v>
      </c>
      <c r="D471" s="2" t="s">
        <v>240</v>
      </c>
      <c r="E471" s="18">
        <v>0</v>
      </c>
      <c r="F471" s="18">
        <v>0</v>
      </c>
      <c r="G471" s="18">
        <v>0</v>
      </c>
      <c r="H471" s="18">
        <v>2</v>
      </c>
      <c r="I471" s="18">
        <v>0</v>
      </c>
      <c r="J471" s="18">
        <v>0</v>
      </c>
      <c r="K471" s="18">
        <v>0</v>
      </c>
      <c r="T471" s="3">
        <v>2</v>
      </c>
      <c r="U471" s="3">
        <v>2</v>
      </c>
      <c r="V471" s="3">
        <v>5</v>
      </c>
      <c r="X471" s="2" t="s">
        <v>855</v>
      </c>
      <c r="Y471" s="18">
        <v>1</v>
      </c>
      <c r="Z471" s="18">
        <v>7</v>
      </c>
      <c r="AA471" s="18">
        <v>0</v>
      </c>
      <c r="AB471" s="18">
        <v>0</v>
      </c>
      <c r="AC471" s="18">
        <v>0</v>
      </c>
      <c r="AD471" s="18">
        <v>0</v>
      </c>
      <c r="AE471" s="18">
        <v>0</v>
      </c>
      <c r="AN471" s="3">
        <v>8</v>
      </c>
      <c r="AO471" s="3">
        <v>6</v>
      </c>
      <c r="AP471" s="3">
        <v>3</v>
      </c>
      <c r="AR471" s="2" t="s">
        <v>798</v>
      </c>
    </row>
    <row r="472" spans="1:44" ht="12.75" customHeight="1">
      <c r="A472" s="4">
        <f>DATE(66,5,3)</f>
        <v>24230</v>
      </c>
      <c r="B472" s="2" t="s">
        <v>152</v>
      </c>
      <c r="C472" s="2" t="s">
        <v>169</v>
      </c>
      <c r="E472" s="18">
        <v>0</v>
      </c>
      <c r="F472" s="18">
        <v>0</v>
      </c>
      <c r="G472" s="18">
        <v>0</v>
      </c>
      <c r="H472" s="18">
        <v>0</v>
      </c>
      <c r="I472" s="18">
        <v>2</v>
      </c>
      <c r="J472" s="18">
        <v>2</v>
      </c>
      <c r="K472" s="18">
        <v>0</v>
      </c>
      <c r="L472" s="18">
        <v>3</v>
      </c>
      <c r="T472" s="3">
        <v>7</v>
      </c>
      <c r="U472" s="3">
        <v>7</v>
      </c>
      <c r="V472" s="3">
        <v>3</v>
      </c>
      <c r="X472" s="2" t="s">
        <v>846</v>
      </c>
      <c r="Y472" s="18"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4</v>
      </c>
      <c r="AF472" s="18">
        <v>1</v>
      </c>
      <c r="AN472" s="3">
        <v>5</v>
      </c>
      <c r="AO472" s="3">
        <v>6</v>
      </c>
      <c r="AP472" s="3">
        <v>4</v>
      </c>
      <c r="AR472" s="2" t="s">
        <v>859</v>
      </c>
    </row>
    <row r="473" spans="1:44" ht="12.75" customHeight="1">
      <c r="A473" s="4">
        <f>DATE(66,5,6)</f>
        <v>24233</v>
      </c>
      <c r="C473" s="2" t="s">
        <v>169</v>
      </c>
      <c r="E473" s="18">
        <v>0</v>
      </c>
      <c r="F473" s="18">
        <v>0</v>
      </c>
      <c r="G473" s="18">
        <v>0</v>
      </c>
      <c r="H473" s="18">
        <v>0</v>
      </c>
      <c r="I473" s="18">
        <v>2</v>
      </c>
      <c r="J473" s="18">
        <v>0</v>
      </c>
      <c r="K473" s="18">
        <v>0</v>
      </c>
      <c r="T473" s="3">
        <v>2</v>
      </c>
      <c r="U473" s="3">
        <v>5</v>
      </c>
      <c r="V473" s="3">
        <v>3</v>
      </c>
      <c r="X473" s="2" t="s">
        <v>845</v>
      </c>
      <c r="Y473" s="18">
        <v>0</v>
      </c>
      <c r="Z473" s="18">
        <v>0</v>
      </c>
      <c r="AA473" s="18">
        <v>1</v>
      </c>
      <c r="AB473" s="18">
        <v>0</v>
      </c>
      <c r="AC473" s="18">
        <v>1</v>
      </c>
      <c r="AD473" s="18">
        <v>0</v>
      </c>
      <c r="AE473" s="18">
        <v>2</v>
      </c>
      <c r="AN473" s="3">
        <v>4</v>
      </c>
      <c r="AO473" s="3">
        <v>9</v>
      </c>
      <c r="AP473" s="3">
        <v>1</v>
      </c>
      <c r="AR473" s="2" t="s">
        <v>867</v>
      </c>
    </row>
    <row r="474" spans="1:44" ht="12.75" customHeight="1">
      <c r="A474" s="4">
        <f>DATE(67,5,18)</f>
        <v>24610</v>
      </c>
      <c r="B474" s="2" t="s">
        <v>152</v>
      </c>
      <c r="C474" s="2" t="s">
        <v>169</v>
      </c>
      <c r="E474" s="18">
        <v>0</v>
      </c>
      <c r="F474" s="18">
        <v>0</v>
      </c>
      <c r="G474" s="18">
        <v>3</v>
      </c>
      <c r="H474" s="18">
        <v>0</v>
      </c>
      <c r="I474" s="18">
        <v>3</v>
      </c>
      <c r="J474" s="18">
        <v>0</v>
      </c>
      <c r="K474" s="18">
        <v>2</v>
      </c>
      <c r="T474" s="3">
        <v>8</v>
      </c>
      <c r="U474" s="3">
        <v>8</v>
      </c>
      <c r="V474" s="3">
        <v>2</v>
      </c>
      <c r="X474" s="2" t="s">
        <v>879</v>
      </c>
      <c r="Y474" s="18">
        <v>1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  <c r="AE474" s="18">
        <v>1</v>
      </c>
      <c r="AN474" s="3">
        <v>2</v>
      </c>
      <c r="AO474" s="3">
        <v>6</v>
      </c>
      <c r="AP474" s="3">
        <v>2</v>
      </c>
      <c r="AR474" s="2" t="s">
        <v>885</v>
      </c>
    </row>
    <row r="475" spans="1:44" ht="12.75" customHeight="1">
      <c r="A475" s="4">
        <f>DATE(67,5,22)</f>
        <v>24614</v>
      </c>
      <c r="C475" s="2" t="s">
        <v>169</v>
      </c>
      <c r="E475" s="18">
        <v>2</v>
      </c>
      <c r="F475" s="18">
        <v>7</v>
      </c>
      <c r="G475" s="18">
        <v>1</v>
      </c>
      <c r="H475" s="18">
        <v>1</v>
      </c>
      <c r="I475" s="18">
        <v>2</v>
      </c>
      <c r="J475" s="18">
        <v>4</v>
      </c>
      <c r="K475" s="18" t="s">
        <v>162</v>
      </c>
      <c r="T475" s="3">
        <v>17</v>
      </c>
      <c r="U475" s="3">
        <v>12</v>
      </c>
      <c r="V475" s="3">
        <v>4</v>
      </c>
      <c r="X475" s="2" t="s">
        <v>845</v>
      </c>
      <c r="Y475" s="18">
        <v>0</v>
      </c>
      <c r="Z475" s="18">
        <v>0</v>
      </c>
      <c r="AA475" s="18">
        <v>0</v>
      </c>
      <c r="AB475" s="18">
        <v>0</v>
      </c>
      <c r="AC475" s="18">
        <v>2</v>
      </c>
      <c r="AD475" s="18">
        <v>2</v>
      </c>
      <c r="AE475" s="18">
        <v>1</v>
      </c>
      <c r="AN475" s="3">
        <v>5</v>
      </c>
      <c r="AO475" s="3">
        <v>7</v>
      </c>
      <c r="AP475" s="3">
        <v>5</v>
      </c>
      <c r="AR475" s="2" t="s">
        <v>886</v>
      </c>
    </row>
    <row r="476" spans="1:44" ht="12.75" customHeight="1">
      <c r="A476" s="4">
        <f>DATE(68,4,26)</f>
        <v>24954</v>
      </c>
      <c r="C476" s="2" t="s">
        <v>169</v>
      </c>
      <c r="E476" s="18">
        <v>0</v>
      </c>
      <c r="F476" s="18">
        <v>0</v>
      </c>
      <c r="G476" s="18">
        <v>0</v>
      </c>
      <c r="H476" s="18">
        <v>0</v>
      </c>
      <c r="I476" s="18">
        <v>1</v>
      </c>
      <c r="J476" s="18">
        <v>3</v>
      </c>
      <c r="K476" s="18" t="s">
        <v>162</v>
      </c>
      <c r="T476" s="3">
        <v>4</v>
      </c>
      <c r="U476" s="3">
        <v>6</v>
      </c>
      <c r="V476" s="3">
        <v>2</v>
      </c>
      <c r="X476" s="2" t="s">
        <v>893</v>
      </c>
      <c r="Y476" s="18">
        <v>3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  <c r="AE476" s="18">
        <v>0</v>
      </c>
      <c r="AN476" s="3">
        <v>3</v>
      </c>
      <c r="AO476" s="3">
        <v>4</v>
      </c>
      <c r="AP476" s="3">
        <v>4</v>
      </c>
      <c r="AR476" s="2" t="s">
        <v>896</v>
      </c>
    </row>
    <row r="477" spans="1:44" ht="12.75" customHeight="1">
      <c r="A477" s="4">
        <f>DATE(68,5,30)</f>
        <v>24988</v>
      </c>
      <c r="B477" s="2" t="s">
        <v>152</v>
      </c>
      <c r="C477" s="2" t="s">
        <v>169</v>
      </c>
      <c r="E477" s="18">
        <v>0</v>
      </c>
      <c r="F477" s="18">
        <v>0</v>
      </c>
      <c r="G477" s="18">
        <v>0</v>
      </c>
      <c r="H477" s="18">
        <v>0</v>
      </c>
      <c r="I477" s="18">
        <v>2</v>
      </c>
      <c r="J477" s="18">
        <v>0</v>
      </c>
      <c r="K477" s="18">
        <v>0</v>
      </c>
      <c r="T477" s="3">
        <v>2</v>
      </c>
      <c r="U477" s="3">
        <v>3</v>
      </c>
      <c r="V477" s="3">
        <v>2</v>
      </c>
      <c r="X477" s="2" t="s">
        <v>905</v>
      </c>
      <c r="Y477" s="18">
        <v>2</v>
      </c>
      <c r="Z477" s="18">
        <v>0</v>
      </c>
      <c r="AA477" s="18">
        <v>0</v>
      </c>
      <c r="AB477" s="18">
        <v>1</v>
      </c>
      <c r="AC477" s="18">
        <v>0</v>
      </c>
      <c r="AD477" s="18">
        <v>0</v>
      </c>
      <c r="AE477" s="18" t="s">
        <v>162</v>
      </c>
      <c r="AN477" s="3">
        <v>3</v>
      </c>
      <c r="AO477" s="3">
        <v>4</v>
      </c>
      <c r="AP477" s="3">
        <v>2</v>
      </c>
      <c r="AR477" s="2" t="s">
        <v>906</v>
      </c>
    </row>
    <row r="478" spans="1:44" ht="12.75" customHeight="1">
      <c r="A478" s="4">
        <f>DATE(69,4,23)</f>
        <v>25316</v>
      </c>
      <c r="B478" s="2" t="s">
        <v>152</v>
      </c>
      <c r="C478" s="2" t="s">
        <v>169</v>
      </c>
      <c r="E478" s="18">
        <v>0</v>
      </c>
      <c r="F478" s="18">
        <v>0</v>
      </c>
      <c r="G478" s="18">
        <v>0</v>
      </c>
      <c r="H478" s="18">
        <v>0</v>
      </c>
      <c r="I478" s="18">
        <v>1</v>
      </c>
      <c r="J478" s="18">
        <v>0</v>
      </c>
      <c r="K478" s="18">
        <v>2</v>
      </c>
      <c r="T478" s="3">
        <v>3</v>
      </c>
      <c r="U478" s="3">
        <v>5</v>
      </c>
      <c r="V478" s="3">
        <v>3</v>
      </c>
      <c r="X478" s="2" t="s">
        <v>893</v>
      </c>
      <c r="Y478" s="18">
        <v>0</v>
      </c>
      <c r="Z478" s="18">
        <v>1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N478" s="3">
        <v>1</v>
      </c>
      <c r="AO478" s="3">
        <v>2</v>
      </c>
      <c r="AP478" s="3">
        <v>2</v>
      </c>
      <c r="AR478" s="2" t="s">
        <v>911</v>
      </c>
    </row>
    <row r="479" spans="1:44" ht="12.75" customHeight="1">
      <c r="A479" s="4">
        <f>DATE(69,5,15)</f>
        <v>25338</v>
      </c>
      <c r="C479" s="2" t="s">
        <v>169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2</v>
      </c>
      <c r="T479" s="3">
        <v>2</v>
      </c>
      <c r="U479" s="3">
        <v>8</v>
      </c>
      <c r="V479" s="3">
        <v>5</v>
      </c>
      <c r="X479" s="2" t="s">
        <v>915</v>
      </c>
      <c r="Y479" s="18">
        <v>0</v>
      </c>
      <c r="Z479" s="18">
        <v>1</v>
      </c>
      <c r="AA479" s="18">
        <v>1</v>
      </c>
      <c r="AB479" s="18">
        <v>0</v>
      </c>
      <c r="AC479" s="18">
        <v>1</v>
      </c>
      <c r="AD479" s="18">
        <v>1</v>
      </c>
      <c r="AE479" s="18">
        <v>3</v>
      </c>
      <c r="AN479" s="3">
        <v>7</v>
      </c>
      <c r="AO479" s="3">
        <v>11</v>
      </c>
      <c r="AP479" s="3">
        <v>0</v>
      </c>
      <c r="AR479" s="2" t="s">
        <v>911</v>
      </c>
    </row>
    <row r="480" spans="1:44" ht="12.75" customHeight="1">
      <c r="A480" s="4">
        <f>DATE(70,5,4)</f>
        <v>25692</v>
      </c>
      <c r="C480" s="2" t="s">
        <v>169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1</v>
      </c>
      <c r="K480" s="18">
        <v>0</v>
      </c>
      <c r="T480" s="3">
        <v>1</v>
      </c>
      <c r="U480" s="3">
        <v>5</v>
      </c>
      <c r="V480" s="3">
        <v>3</v>
      </c>
      <c r="X480" s="2" t="s">
        <v>902</v>
      </c>
      <c r="Y480" s="18">
        <v>0</v>
      </c>
      <c r="Z480" s="18">
        <v>0</v>
      </c>
      <c r="AA480" s="18">
        <v>3</v>
      </c>
      <c r="AB480" s="18">
        <v>0</v>
      </c>
      <c r="AC480" s="18">
        <v>0</v>
      </c>
      <c r="AD480" s="18">
        <v>1</v>
      </c>
      <c r="AE480" s="18">
        <v>0</v>
      </c>
      <c r="AN480" s="3">
        <v>4</v>
      </c>
      <c r="AO480" s="3">
        <v>4</v>
      </c>
      <c r="AP480" s="3">
        <v>3</v>
      </c>
      <c r="AR480" s="2" t="s">
        <v>911</v>
      </c>
    </row>
    <row r="481" spans="1:44" ht="12.75" customHeight="1">
      <c r="A481" s="4">
        <f>DATE(70,5,14)</f>
        <v>25702</v>
      </c>
      <c r="B481" s="2" t="s">
        <v>152</v>
      </c>
      <c r="C481" s="2" t="s">
        <v>169</v>
      </c>
      <c r="E481" s="18">
        <v>0</v>
      </c>
      <c r="F481" s="18">
        <v>0</v>
      </c>
      <c r="G481" s="18">
        <v>0</v>
      </c>
      <c r="H481" s="18">
        <v>3</v>
      </c>
      <c r="I481" s="18">
        <v>0</v>
      </c>
      <c r="J481" s="18">
        <v>0</v>
      </c>
      <c r="K481" s="18">
        <v>0</v>
      </c>
      <c r="T481" s="3">
        <v>3</v>
      </c>
      <c r="U481" s="3">
        <v>6</v>
      </c>
      <c r="V481" s="3">
        <v>2</v>
      </c>
      <c r="X481" s="2" t="s">
        <v>902</v>
      </c>
      <c r="Y481" s="18">
        <v>0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N481" s="3">
        <v>0</v>
      </c>
      <c r="AO481" s="3">
        <v>4</v>
      </c>
      <c r="AP481" s="3">
        <v>3</v>
      </c>
      <c r="AR481" s="2" t="s">
        <v>911</v>
      </c>
    </row>
    <row r="482" spans="1:44" ht="12.75" customHeight="1">
      <c r="A482" s="4">
        <f>DATE(70,5,28)</f>
        <v>25716</v>
      </c>
      <c r="C482" s="2" t="s">
        <v>169</v>
      </c>
      <c r="D482" s="2" t="s">
        <v>240</v>
      </c>
      <c r="E482" s="18">
        <v>2</v>
      </c>
      <c r="F482" s="18">
        <v>0</v>
      </c>
      <c r="G482" s="18">
        <v>0</v>
      </c>
      <c r="H482" s="18">
        <v>0</v>
      </c>
      <c r="I482" s="18">
        <v>0</v>
      </c>
      <c r="J482" s="18">
        <v>3</v>
      </c>
      <c r="K482" s="18" t="s">
        <v>162</v>
      </c>
      <c r="T482" s="3">
        <v>5</v>
      </c>
      <c r="U482" s="3">
        <v>6</v>
      </c>
      <c r="V482" s="3">
        <v>1</v>
      </c>
      <c r="X482" s="2" t="s">
        <v>902</v>
      </c>
      <c r="Y482" s="18">
        <v>0</v>
      </c>
      <c r="Z482" s="18">
        <v>0</v>
      </c>
      <c r="AA482" s="18">
        <v>1</v>
      </c>
      <c r="AB482" s="18">
        <v>0</v>
      </c>
      <c r="AC482" s="18">
        <v>0</v>
      </c>
      <c r="AD482" s="18">
        <v>0</v>
      </c>
      <c r="AE482" s="18">
        <v>0</v>
      </c>
      <c r="AN482" s="3">
        <v>1</v>
      </c>
      <c r="AO482" s="3">
        <v>3</v>
      </c>
      <c r="AP482" s="3">
        <v>3</v>
      </c>
      <c r="AR482" s="2" t="s">
        <v>931</v>
      </c>
    </row>
    <row r="483" spans="1:44" ht="12.75" customHeight="1">
      <c r="A483" s="4">
        <f>DATE(71,4,22)</f>
        <v>26045</v>
      </c>
      <c r="B483" s="2" t="s">
        <v>152</v>
      </c>
      <c r="C483" s="2" t="s">
        <v>169</v>
      </c>
      <c r="E483" s="18">
        <v>3</v>
      </c>
      <c r="F483" s="18">
        <v>0</v>
      </c>
      <c r="G483" s="18">
        <v>5</v>
      </c>
      <c r="H483" s="18">
        <v>0</v>
      </c>
      <c r="I483" s="18">
        <v>0</v>
      </c>
      <c r="J483" s="18">
        <v>3</v>
      </c>
      <c r="K483" s="18">
        <v>1</v>
      </c>
      <c r="T483" s="3">
        <v>12</v>
      </c>
      <c r="U483" s="3">
        <v>11</v>
      </c>
      <c r="V483" s="3">
        <v>0</v>
      </c>
      <c r="X483" s="2" t="s">
        <v>949</v>
      </c>
      <c r="Y483" s="18">
        <v>0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  <c r="AE483" s="18">
        <v>0</v>
      </c>
      <c r="AN483" s="3">
        <v>0</v>
      </c>
      <c r="AO483" s="3">
        <v>2</v>
      </c>
      <c r="AP483" s="3">
        <v>3</v>
      </c>
      <c r="AR483" s="2" t="s">
        <v>950</v>
      </c>
    </row>
    <row r="484" spans="1:44" ht="12.75" customHeight="1">
      <c r="A484" s="4">
        <f>DATE(71,5,26)</f>
        <v>26079</v>
      </c>
      <c r="C484" s="2" t="s">
        <v>169</v>
      </c>
      <c r="E484" s="18">
        <v>1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T484" s="3">
        <v>1</v>
      </c>
      <c r="U484" s="3">
        <v>6</v>
      </c>
      <c r="V484" s="3">
        <v>1</v>
      </c>
      <c r="X484" s="2" t="s">
        <v>941</v>
      </c>
      <c r="Y484" s="18">
        <v>0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  <c r="AE484" s="18">
        <v>0</v>
      </c>
      <c r="AN484" s="3">
        <v>0</v>
      </c>
      <c r="AO484" s="3">
        <v>2</v>
      </c>
      <c r="AP484" s="3">
        <v>1</v>
      </c>
      <c r="AR484" s="2" t="s">
        <v>911</v>
      </c>
    </row>
    <row r="485" spans="1:44" ht="12.75" customHeight="1">
      <c r="A485" s="4">
        <f>DATE(74,4,5)</f>
        <v>27124</v>
      </c>
      <c r="B485" s="2" t="s">
        <v>152</v>
      </c>
      <c r="C485" s="2" t="s">
        <v>169</v>
      </c>
      <c r="E485" s="18">
        <v>0</v>
      </c>
      <c r="F485" s="18">
        <v>0</v>
      </c>
      <c r="G485" s="18">
        <v>0</v>
      </c>
      <c r="H485" s="18">
        <v>0</v>
      </c>
      <c r="I485" s="18">
        <v>2</v>
      </c>
      <c r="J485" s="18">
        <v>0</v>
      </c>
      <c r="K485" s="18">
        <v>0</v>
      </c>
      <c r="T485" s="3">
        <v>2</v>
      </c>
      <c r="U485" s="3">
        <v>2</v>
      </c>
      <c r="V485" s="3">
        <v>1</v>
      </c>
      <c r="X485" s="2" t="s">
        <v>996</v>
      </c>
      <c r="Y485" s="18"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N485" s="3">
        <v>0</v>
      </c>
      <c r="AO485" s="3">
        <v>4</v>
      </c>
      <c r="AP485" s="3">
        <v>0</v>
      </c>
      <c r="AR485" s="2" t="s">
        <v>1019</v>
      </c>
    </row>
    <row r="486" spans="1:44" ht="12.75" customHeight="1">
      <c r="A486" s="4">
        <f>DATE(78,5,27)</f>
        <v>28637</v>
      </c>
      <c r="B486" s="2" t="s">
        <v>239</v>
      </c>
      <c r="C486" s="2" t="s">
        <v>169</v>
      </c>
      <c r="D486" s="2" t="s">
        <v>258</v>
      </c>
      <c r="E486" s="18">
        <v>0</v>
      </c>
      <c r="F486" s="18">
        <v>0</v>
      </c>
      <c r="G486" s="18">
        <v>3</v>
      </c>
      <c r="H486" s="18">
        <v>0</v>
      </c>
      <c r="I486" s="18">
        <v>0</v>
      </c>
      <c r="J486" s="18">
        <v>0</v>
      </c>
      <c r="K486" s="18">
        <v>3</v>
      </c>
      <c r="T486" s="3">
        <v>6</v>
      </c>
      <c r="U486" s="3">
        <v>8</v>
      </c>
      <c r="V486" s="3">
        <v>1</v>
      </c>
      <c r="X486" s="2" t="s">
        <v>1149</v>
      </c>
      <c r="Y486" s="18">
        <v>0</v>
      </c>
      <c r="Z486" s="18">
        <v>0</v>
      </c>
      <c r="AA486" s="18">
        <v>0</v>
      </c>
      <c r="AB486" s="18">
        <v>1</v>
      </c>
      <c r="AC486" s="18">
        <v>0</v>
      </c>
      <c r="AD486" s="18">
        <v>0</v>
      </c>
      <c r="AE486" s="18">
        <v>0</v>
      </c>
      <c r="AN486" s="3">
        <v>1</v>
      </c>
      <c r="AO486" s="3">
        <v>4</v>
      </c>
      <c r="AP486" s="3">
        <v>1</v>
      </c>
      <c r="AR486" s="2" t="s">
        <v>1181</v>
      </c>
    </row>
    <row r="487" spans="1:44" ht="12.75" customHeight="1">
      <c r="A487" s="4">
        <f>DATE(79,4,28)</f>
        <v>28973</v>
      </c>
      <c r="C487" s="2" t="s">
        <v>169</v>
      </c>
      <c r="E487" s="18">
        <v>1</v>
      </c>
      <c r="F487" s="18">
        <v>5</v>
      </c>
      <c r="G487" s="18">
        <v>4</v>
      </c>
      <c r="H487" s="18">
        <v>3</v>
      </c>
      <c r="I487" s="18">
        <v>0</v>
      </c>
      <c r="J487" s="18">
        <v>0</v>
      </c>
      <c r="K487" s="18" t="s">
        <v>162</v>
      </c>
      <c r="T487" s="3">
        <v>13</v>
      </c>
      <c r="U487" s="3">
        <v>10</v>
      </c>
      <c r="V487" s="3">
        <v>2</v>
      </c>
      <c r="X487" s="2" t="s">
        <v>1208</v>
      </c>
      <c r="Y487" s="18">
        <v>0</v>
      </c>
      <c r="Z487" s="18">
        <v>0</v>
      </c>
      <c r="AA487" s="18">
        <v>0</v>
      </c>
      <c r="AB487" s="18">
        <v>0</v>
      </c>
      <c r="AC487" s="18">
        <v>3</v>
      </c>
      <c r="AD487" s="18">
        <v>0</v>
      </c>
      <c r="AE487" s="18">
        <v>8</v>
      </c>
      <c r="AN487" s="3">
        <v>11</v>
      </c>
      <c r="AO487" s="3">
        <v>5</v>
      </c>
      <c r="AP487" s="3">
        <v>4</v>
      </c>
      <c r="AR487" s="2" t="s">
        <v>1209</v>
      </c>
    </row>
    <row r="488" spans="1:44" ht="12.75" customHeight="1">
      <c r="A488" s="4">
        <f>DATE(80,4,26)</f>
        <v>29337</v>
      </c>
      <c r="B488" s="2" t="s">
        <v>152</v>
      </c>
      <c r="C488" s="2" t="s">
        <v>169</v>
      </c>
      <c r="E488" s="18">
        <v>0</v>
      </c>
      <c r="F488" s="18">
        <v>2</v>
      </c>
      <c r="G488" s="18">
        <v>0</v>
      </c>
      <c r="H488" s="18">
        <v>0</v>
      </c>
      <c r="I488" s="18">
        <v>1</v>
      </c>
      <c r="J488" s="18">
        <v>0</v>
      </c>
      <c r="K488" s="18">
        <v>4</v>
      </c>
      <c r="T488" s="3">
        <v>7</v>
      </c>
      <c r="U488" s="3">
        <v>10</v>
      </c>
      <c r="V488" s="3">
        <v>0</v>
      </c>
      <c r="X488" s="2" t="s">
        <v>1254</v>
      </c>
      <c r="Y488" s="18"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N488" s="3">
        <v>0</v>
      </c>
      <c r="AO488" s="3">
        <v>2</v>
      </c>
      <c r="AP488" s="3">
        <v>3</v>
      </c>
      <c r="AR488" s="2" t="s">
        <v>1291</v>
      </c>
    </row>
    <row r="489" spans="1:44" ht="12.75" customHeight="1">
      <c r="A489" s="4">
        <f>DATE(81,4,20)</f>
        <v>29696</v>
      </c>
      <c r="B489" s="2" t="s">
        <v>152</v>
      </c>
      <c r="C489" s="2" t="s">
        <v>169</v>
      </c>
      <c r="E489" s="18">
        <v>1</v>
      </c>
      <c r="F489" s="18">
        <v>0</v>
      </c>
      <c r="G489" s="18">
        <v>2</v>
      </c>
      <c r="H489" s="18">
        <v>0</v>
      </c>
      <c r="I489" s="18">
        <v>1</v>
      </c>
      <c r="J489" s="18">
        <v>1</v>
      </c>
      <c r="K489" s="18">
        <v>0</v>
      </c>
      <c r="T489" s="3">
        <v>5</v>
      </c>
      <c r="U489" s="3">
        <v>4</v>
      </c>
      <c r="V489" s="3">
        <v>1</v>
      </c>
      <c r="X489" s="2" t="s">
        <v>1320</v>
      </c>
      <c r="Y489" s="18">
        <v>0</v>
      </c>
      <c r="Z489" s="18">
        <v>0</v>
      </c>
      <c r="AA489" s="18">
        <v>0</v>
      </c>
      <c r="AB489" s="18">
        <v>0</v>
      </c>
      <c r="AC489" s="18">
        <v>0</v>
      </c>
      <c r="AD489" s="18">
        <v>1</v>
      </c>
      <c r="AE489" s="18">
        <v>0</v>
      </c>
      <c r="AN489" s="3">
        <v>1</v>
      </c>
      <c r="AO489" s="3">
        <v>1</v>
      </c>
      <c r="AP489" s="3">
        <v>6</v>
      </c>
      <c r="AR489" s="2" t="s">
        <v>1337</v>
      </c>
    </row>
    <row r="490" spans="1:44" ht="12.75" customHeight="1">
      <c r="A490" s="4">
        <f>DATE(81,5,6)</f>
        <v>29712</v>
      </c>
      <c r="C490" s="2" t="s">
        <v>169</v>
      </c>
      <c r="E490" s="18">
        <v>1</v>
      </c>
      <c r="F490" s="18">
        <v>4</v>
      </c>
      <c r="G490" s="18">
        <v>8</v>
      </c>
      <c r="H490" s="18">
        <v>4</v>
      </c>
      <c r="I490" s="18">
        <v>0</v>
      </c>
      <c r="J490" s="18">
        <v>3</v>
      </c>
      <c r="K490" s="18" t="s">
        <v>162</v>
      </c>
      <c r="T490" s="3">
        <v>20</v>
      </c>
      <c r="U490" s="3">
        <v>13</v>
      </c>
      <c r="V490" s="3">
        <v>5</v>
      </c>
      <c r="X490" s="2" t="s">
        <v>1346</v>
      </c>
      <c r="Y490" s="18">
        <v>9</v>
      </c>
      <c r="Z490" s="18">
        <v>0</v>
      </c>
      <c r="AA490" s="18">
        <v>0</v>
      </c>
      <c r="AB490" s="18">
        <v>3</v>
      </c>
      <c r="AC490" s="18">
        <v>0</v>
      </c>
      <c r="AD490" s="18">
        <v>0</v>
      </c>
      <c r="AE490" s="18">
        <v>0</v>
      </c>
      <c r="AN490" s="3">
        <v>12</v>
      </c>
      <c r="AO490" s="3">
        <v>8</v>
      </c>
      <c r="AP490" s="3">
        <v>4</v>
      </c>
      <c r="AR490" s="2" t="s">
        <v>300</v>
      </c>
    </row>
    <row r="491" spans="1:44" ht="12.75" customHeight="1">
      <c r="A491" s="4">
        <f>DATE(82,4,19)</f>
        <v>30060</v>
      </c>
      <c r="C491" s="2" t="s">
        <v>169</v>
      </c>
      <c r="E491" s="18">
        <v>6</v>
      </c>
      <c r="F491" s="18">
        <v>3</v>
      </c>
      <c r="G491" s="18">
        <v>1</v>
      </c>
      <c r="H491" s="18">
        <v>3</v>
      </c>
      <c r="I491" s="18">
        <v>0</v>
      </c>
      <c r="J491" s="18">
        <v>0</v>
      </c>
      <c r="K491" s="18">
        <v>1</v>
      </c>
      <c r="T491" s="3">
        <v>14</v>
      </c>
      <c r="U491" s="3">
        <v>11</v>
      </c>
      <c r="V491" s="3">
        <v>9</v>
      </c>
      <c r="X491" s="2" t="s">
        <v>1313</v>
      </c>
      <c r="Y491" s="18">
        <v>0</v>
      </c>
      <c r="Z491" s="18">
        <v>9</v>
      </c>
      <c r="AA491" s="18">
        <v>3</v>
      </c>
      <c r="AB491" s="18">
        <v>0</v>
      </c>
      <c r="AC491" s="18">
        <v>0</v>
      </c>
      <c r="AD491" s="18">
        <v>0</v>
      </c>
      <c r="AE491" s="18">
        <v>0</v>
      </c>
      <c r="AN491" s="3">
        <v>12</v>
      </c>
      <c r="AO491" s="3">
        <v>7</v>
      </c>
      <c r="AP491" s="3">
        <v>5</v>
      </c>
      <c r="AR491" s="2" t="s">
        <v>1373</v>
      </c>
    </row>
    <row r="492" spans="1:44" ht="12.75" customHeight="1">
      <c r="A492" s="4">
        <f>DATE(82,5,15)</f>
        <v>30086</v>
      </c>
      <c r="B492" s="2" t="s">
        <v>152</v>
      </c>
      <c r="C492" s="2" t="s">
        <v>169</v>
      </c>
      <c r="E492" s="18">
        <v>0</v>
      </c>
      <c r="F492" s="18">
        <v>0</v>
      </c>
      <c r="G492" s="18">
        <v>0</v>
      </c>
      <c r="H492" s="18">
        <v>4</v>
      </c>
      <c r="I492" s="18">
        <v>0</v>
      </c>
      <c r="J492" s="18">
        <v>0</v>
      </c>
      <c r="K492" s="18">
        <v>3</v>
      </c>
      <c r="T492" s="3">
        <v>7</v>
      </c>
      <c r="U492" s="3">
        <v>10</v>
      </c>
      <c r="V492" s="3">
        <v>0</v>
      </c>
      <c r="X492" s="2" t="s">
        <v>1378</v>
      </c>
      <c r="Y492" s="18">
        <v>0</v>
      </c>
      <c r="Z492" s="18">
        <v>0</v>
      </c>
      <c r="AA492" s="18">
        <v>3</v>
      </c>
      <c r="AB492" s="18">
        <v>0</v>
      </c>
      <c r="AC492" s="18">
        <v>0</v>
      </c>
      <c r="AD492" s="18">
        <v>0</v>
      </c>
      <c r="AE492" s="18">
        <v>0</v>
      </c>
      <c r="AN492" s="3">
        <v>3</v>
      </c>
      <c r="AO492" s="3">
        <v>8</v>
      </c>
      <c r="AP492" s="3">
        <v>0</v>
      </c>
      <c r="AR492" s="2" t="s">
        <v>1390</v>
      </c>
    </row>
    <row r="493" spans="1:44" ht="12.75" customHeight="1">
      <c r="A493" s="4">
        <f>DATE(83,4,25)</f>
        <v>30431</v>
      </c>
      <c r="B493" s="2" t="s">
        <v>152</v>
      </c>
      <c r="C493" s="2" t="s">
        <v>169</v>
      </c>
      <c r="E493" s="18">
        <v>0</v>
      </c>
      <c r="F493" s="18">
        <v>1</v>
      </c>
      <c r="G493" s="18">
        <v>3</v>
      </c>
      <c r="H493" s="18">
        <v>0</v>
      </c>
      <c r="I493" s="18">
        <v>0</v>
      </c>
      <c r="J493" s="18">
        <v>0</v>
      </c>
      <c r="K493" s="18">
        <v>0</v>
      </c>
      <c r="T493" s="3">
        <v>4</v>
      </c>
      <c r="U493" s="3">
        <v>8</v>
      </c>
      <c r="V493" s="3">
        <v>0</v>
      </c>
      <c r="X493" s="2" t="s">
        <v>1378</v>
      </c>
      <c r="Y493" s="18">
        <v>0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1</v>
      </c>
      <c r="AN493" s="3">
        <v>1</v>
      </c>
      <c r="AO493" s="3">
        <v>3</v>
      </c>
      <c r="AP493" s="3">
        <v>0</v>
      </c>
      <c r="AR493" s="2" t="s">
        <v>1414</v>
      </c>
    </row>
    <row r="494" spans="1:44" ht="12.75" customHeight="1">
      <c r="A494" s="4">
        <f>DATE(85,4,14)</f>
        <v>31151</v>
      </c>
      <c r="C494" s="2" t="s">
        <v>169</v>
      </c>
      <c r="E494" s="18">
        <v>0</v>
      </c>
      <c r="F494" s="18">
        <v>2</v>
      </c>
      <c r="G494" s="18">
        <v>10</v>
      </c>
      <c r="H494" s="18">
        <v>0</v>
      </c>
      <c r="I494" s="18" t="s">
        <v>162</v>
      </c>
      <c r="T494" s="3">
        <v>12</v>
      </c>
      <c r="U494" s="3">
        <v>8</v>
      </c>
      <c r="V494" s="3">
        <v>1</v>
      </c>
      <c r="X494" s="2" t="s">
        <v>1482</v>
      </c>
      <c r="Y494" s="18">
        <v>0</v>
      </c>
      <c r="Z494" s="18">
        <v>0</v>
      </c>
      <c r="AA494" s="18">
        <v>0</v>
      </c>
      <c r="AB494" s="18">
        <v>1</v>
      </c>
      <c r="AC494" s="18">
        <v>1</v>
      </c>
      <c r="AN494" s="3">
        <v>2</v>
      </c>
      <c r="AO494" s="3">
        <v>2</v>
      </c>
      <c r="AP494" s="3">
        <v>4</v>
      </c>
      <c r="AR494" s="2" t="s">
        <v>1483</v>
      </c>
    </row>
    <row r="495" spans="1:44" ht="12.75" customHeight="1">
      <c r="A495" s="4">
        <v>36652</v>
      </c>
      <c r="B495" s="2" t="s">
        <v>152</v>
      </c>
      <c r="C495" s="2" t="s">
        <v>169</v>
      </c>
      <c r="E495" s="18">
        <v>0</v>
      </c>
      <c r="F495" s="18">
        <v>0</v>
      </c>
      <c r="G495" s="18">
        <v>1</v>
      </c>
      <c r="H495" s="18">
        <v>0</v>
      </c>
      <c r="I495" s="18">
        <v>6</v>
      </c>
      <c r="J495" s="18">
        <v>0</v>
      </c>
      <c r="K495" s="18">
        <v>0</v>
      </c>
      <c r="L495" s="18">
        <v>4</v>
      </c>
      <c r="T495" s="3">
        <f aca="true" t="shared" si="17" ref="T495:T509">SUM(E495:S495)</f>
        <v>11</v>
      </c>
      <c r="U495" s="3">
        <v>12</v>
      </c>
      <c r="V495" s="3">
        <v>3</v>
      </c>
      <c r="X495" s="2" t="s">
        <v>85</v>
      </c>
      <c r="Y495" s="18">
        <v>2</v>
      </c>
      <c r="Z495" s="18">
        <v>0</v>
      </c>
      <c r="AA495" s="18">
        <v>0</v>
      </c>
      <c r="AB495" s="18">
        <v>1</v>
      </c>
      <c r="AC495" s="18">
        <v>1</v>
      </c>
      <c r="AD495" s="18">
        <v>1</v>
      </c>
      <c r="AE495" s="18">
        <v>2</v>
      </c>
      <c r="AF495" s="18">
        <v>1</v>
      </c>
      <c r="AN495" s="3">
        <f aca="true" t="shared" si="18" ref="AN495:AN509">SUM(Y495:AM495)</f>
        <v>8</v>
      </c>
      <c r="AO495" s="3">
        <v>12</v>
      </c>
      <c r="AP495" s="3">
        <v>3</v>
      </c>
      <c r="AR495" s="2" t="s">
        <v>86</v>
      </c>
    </row>
    <row r="496" spans="1:44" ht="12.75" customHeight="1">
      <c r="A496" s="5">
        <v>37016</v>
      </c>
      <c r="B496" s="2" t="s">
        <v>152</v>
      </c>
      <c r="C496" s="2" t="s">
        <v>169</v>
      </c>
      <c r="E496" s="18">
        <v>0</v>
      </c>
      <c r="F496" s="18">
        <v>3</v>
      </c>
      <c r="G496" s="18">
        <v>0</v>
      </c>
      <c r="H496" s="18">
        <v>2</v>
      </c>
      <c r="I496" s="18">
        <v>3</v>
      </c>
      <c r="J496" s="18">
        <v>8</v>
      </c>
      <c r="T496" s="3">
        <f t="shared" si="17"/>
        <v>16</v>
      </c>
      <c r="U496" s="3">
        <v>8</v>
      </c>
      <c r="V496" s="3">
        <v>1</v>
      </c>
      <c r="X496" s="2" t="s">
        <v>114</v>
      </c>
      <c r="Y496" s="18">
        <v>2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  <c r="AN496" s="3">
        <f t="shared" si="18"/>
        <v>2</v>
      </c>
      <c r="AO496" s="3">
        <v>3</v>
      </c>
      <c r="AP496" s="3">
        <v>3</v>
      </c>
      <c r="AR496" s="2" t="s">
        <v>115</v>
      </c>
    </row>
    <row r="497" spans="1:44" ht="12.75" customHeight="1">
      <c r="A497" s="8">
        <v>37380</v>
      </c>
      <c r="C497" s="2" t="s">
        <v>169</v>
      </c>
      <c r="E497" s="18">
        <v>1</v>
      </c>
      <c r="F497" s="18">
        <v>0</v>
      </c>
      <c r="G497" s="18">
        <v>1</v>
      </c>
      <c r="H497" s="18">
        <v>2</v>
      </c>
      <c r="I497" s="18">
        <v>0</v>
      </c>
      <c r="J497" s="18">
        <v>1</v>
      </c>
      <c r="K497" s="18" t="s">
        <v>162</v>
      </c>
      <c r="T497" s="3">
        <f t="shared" si="17"/>
        <v>5</v>
      </c>
      <c r="U497" s="3">
        <v>6</v>
      </c>
      <c r="V497" s="3">
        <v>3</v>
      </c>
      <c r="X497" s="2" t="s">
        <v>103</v>
      </c>
      <c r="Y497" s="18">
        <v>0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  <c r="AE497" s="18">
        <v>0</v>
      </c>
      <c r="AN497" s="3">
        <f t="shared" si="18"/>
        <v>0</v>
      </c>
      <c r="AO497" s="3">
        <v>1</v>
      </c>
      <c r="AP497" s="3">
        <v>0</v>
      </c>
      <c r="AR497" s="2" t="s">
        <v>1118</v>
      </c>
    </row>
    <row r="498" spans="1:44" ht="12.75" customHeight="1">
      <c r="A498" s="8">
        <v>37744</v>
      </c>
      <c r="B498" s="2" t="s">
        <v>152</v>
      </c>
      <c r="C498" s="2" t="s">
        <v>169</v>
      </c>
      <c r="E498" s="18">
        <v>2</v>
      </c>
      <c r="F498" s="18">
        <v>3</v>
      </c>
      <c r="G498" s="18">
        <v>1</v>
      </c>
      <c r="H498" s="18">
        <v>0</v>
      </c>
      <c r="I498" s="18">
        <v>1</v>
      </c>
      <c r="J498" s="18">
        <v>3</v>
      </c>
      <c r="K498" s="18">
        <v>2</v>
      </c>
      <c r="T498" s="3">
        <f t="shared" si="17"/>
        <v>12</v>
      </c>
      <c r="U498" s="3">
        <v>15</v>
      </c>
      <c r="V498" s="3">
        <v>0</v>
      </c>
      <c r="X498" s="2" t="s">
        <v>107</v>
      </c>
      <c r="Y498" s="18">
        <v>0</v>
      </c>
      <c r="Z498" s="18">
        <v>0</v>
      </c>
      <c r="AA498" s="18">
        <v>1</v>
      </c>
      <c r="AB498" s="18">
        <v>0</v>
      </c>
      <c r="AC498" s="18">
        <v>0</v>
      </c>
      <c r="AD498" s="18">
        <v>4</v>
      </c>
      <c r="AE498" s="18">
        <v>0</v>
      </c>
      <c r="AN498" s="3">
        <f t="shared" si="18"/>
        <v>5</v>
      </c>
      <c r="AO498" s="3">
        <v>9</v>
      </c>
      <c r="AP498" s="3">
        <v>5</v>
      </c>
      <c r="AR498" s="2" t="s">
        <v>584</v>
      </c>
    </row>
    <row r="499" spans="1:44" ht="12.75" customHeight="1">
      <c r="A499" s="5">
        <v>39182</v>
      </c>
      <c r="C499" s="2" t="s">
        <v>169</v>
      </c>
      <c r="E499" s="18">
        <v>2</v>
      </c>
      <c r="F499" s="18">
        <v>1</v>
      </c>
      <c r="G499" s="18">
        <v>0</v>
      </c>
      <c r="H499" s="18">
        <v>3</v>
      </c>
      <c r="I499" s="18">
        <v>0</v>
      </c>
      <c r="J499" s="18">
        <v>1</v>
      </c>
      <c r="K499" s="18">
        <v>1</v>
      </c>
      <c r="T499" s="3">
        <f t="shared" si="17"/>
        <v>8</v>
      </c>
      <c r="U499" s="3">
        <v>12</v>
      </c>
      <c r="V499" s="3">
        <v>1</v>
      </c>
      <c r="X499" s="2" t="s">
        <v>467</v>
      </c>
      <c r="Y499" s="18">
        <v>0</v>
      </c>
      <c r="Z499" s="18">
        <v>2</v>
      </c>
      <c r="AA499" s="18">
        <v>0</v>
      </c>
      <c r="AB499" s="18">
        <v>0</v>
      </c>
      <c r="AC499" s="18">
        <v>0</v>
      </c>
      <c r="AD499" s="18">
        <v>5</v>
      </c>
      <c r="AE499" s="18">
        <v>0</v>
      </c>
      <c r="AN499" s="3">
        <f t="shared" si="18"/>
        <v>7</v>
      </c>
      <c r="AO499" s="3">
        <v>7</v>
      </c>
      <c r="AP499" s="3">
        <v>0</v>
      </c>
      <c r="AR499" s="2" t="s">
        <v>494</v>
      </c>
    </row>
    <row r="500" spans="1:44" ht="12.75" customHeight="1">
      <c r="A500" s="5">
        <v>42118</v>
      </c>
      <c r="B500" s="2" t="s">
        <v>152</v>
      </c>
      <c r="C500" s="2" t="s">
        <v>169</v>
      </c>
      <c r="E500" s="18">
        <v>4</v>
      </c>
      <c r="F500" s="18">
        <v>2</v>
      </c>
      <c r="G500" s="18">
        <v>0</v>
      </c>
      <c r="H500" s="18">
        <v>1</v>
      </c>
      <c r="I500" s="18">
        <v>2</v>
      </c>
      <c r="J500" s="18">
        <v>4</v>
      </c>
      <c r="T500" s="3">
        <f t="shared" si="17"/>
        <v>13</v>
      </c>
      <c r="U500" s="3">
        <v>15</v>
      </c>
      <c r="V500" s="3">
        <v>1</v>
      </c>
      <c r="X500" s="2" t="s">
        <v>2082</v>
      </c>
      <c r="Y500" s="18"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  <c r="AN500" s="3">
        <f t="shared" si="18"/>
        <v>0</v>
      </c>
      <c r="AO500" s="3">
        <v>0</v>
      </c>
      <c r="AP500" s="3">
        <v>2</v>
      </c>
      <c r="AR500" s="2" t="s">
        <v>2141</v>
      </c>
    </row>
    <row r="501" spans="1:44" ht="12.75" customHeight="1">
      <c r="A501" s="5">
        <v>42135</v>
      </c>
      <c r="C501" s="2" t="s">
        <v>169</v>
      </c>
      <c r="E501" s="18">
        <v>0</v>
      </c>
      <c r="F501" s="18">
        <v>0</v>
      </c>
      <c r="G501" s="18">
        <v>2</v>
      </c>
      <c r="H501" s="18">
        <v>0</v>
      </c>
      <c r="I501" s="18">
        <v>3</v>
      </c>
      <c r="J501" s="18">
        <v>2</v>
      </c>
      <c r="K501" s="18" t="s">
        <v>162</v>
      </c>
      <c r="T501" s="3">
        <f t="shared" si="17"/>
        <v>7</v>
      </c>
      <c r="U501" s="3">
        <v>8</v>
      </c>
      <c r="V501" s="3">
        <v>5</v>
      </c>
      <c r="X501" s="2" t="s">
        <v>2126</v>
      </c>
      <c r="Y501" s="18">
        <v>0</v>
      </c>
      <c r="Z501" s="18">
        <v>0</v>
      </c>
      <c r="AA501" s="18">
        <v>1</v>
      </c>
      <c r="AB501" s="18">
        <v>1</v>
      </c>
      <c r="AC501" s="18">
        <v>0</v>
      </c>
      <c r="AD501" s="18">
        <v>0</v>
      </c>
      <c r="AE501" s="18">
        <v>0</v>
      </c>
      <c r="AN501" s="3">
        <f t="shared" si="18"/>
        <v>2</v>
      </c>
      <c r="AO501" s="3">
        <v>5</v>
      </c>
      <c r="AP501" s="3">
        <v>1</v>
      </c>
      <c r="AR501" s="2" t="s">
        <v>2127</v>
      </c>
    </row>
    <row r="502" spans="1:44" ht="12.75" customHeight="1">
      <c r="A502" s="5">
        <v>42493</v>
      </c>
      <c r="B502" s="2" t="s">
        <v>152</v>
      </c>
      <c r="C502" s="2" t="s">
        <v>169</v>
      </c>
      <c r="E502" s="18">
        <v>1</v>
      </c>
      <c r="F502" s="18">
        <v>4</v>
      </c>
      <c r="G502" s="18">
        <v>0</v>
      </c>
      <c r="H502" s="18">
        <v>1</v>
      </c>
      <c r="I502" s="18">
        <v>3</v>
      </c>
      <c r="J502" s="18">
        <v>4</v>
      </c>
      <c r="T502" s="3">
        <f t="shared" si="17"/>
        <v>13</v>
      </c>
      <c r="U502" s="3">
        <v>14</v>
      </c>
      <c r="V502" s="3">
        <v>1</v>
      </c>
      <c r="X502" s="2" t="s">
        <v>2138</v>
      </c>
      <c r="Y502" s="18"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  <c r="AN502" s="3">
        <f t="shared" si="18"/>
        <v>0</v>
      </c>
      <c r="AO502" s="3">
        <v>2</v>
      </c>
      <c r="AP502" s="3">
        <v>5</v>
      </c>
      <c r="AR502" s="2" t="s">
        <v>2164</v>
      </c>
    </row>
    <row r="503" spans="1:44" ht="12.75" customHeight="1">
      <c r="A503" s="5">
        <v>42509</v>
      </c>
      <c r="C503" s="2" t="s">
        <v>169</v>
      </c>
      <c r="E503" s="18">
        <v>2</v>
      </c>
      <c r="F503" s="18">
        <v>0</v>
      </c>
      <c r="G503" s="18">
        <v>5</v>
      </c>
      <c r="H503" s="18">
        <v>0</v>
      </c>
      <c r="I503" s="18">
        <v>0</v>
      </c>
      <c r="J503" s="18">
        <v>2</v>
      </c>
      <c r="K503" s="18" t="s">
        <v>162</v>
      </c>
      <c r="T503" s="3">
        <f t="shared" si="17"/>
        <v>9</v>
      </c>
      <c r="U503" s="3">
        <v>11</v>
      </c>
      <c r="V503" s="3">
        <v>2</v>
      </c>
      <c r="X503" s="2" t="s">
        <v>2171</v>
      </c>
      <c r="Y503" s="18">
        <v>0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N503" s="3">
        <f t="shared" si="18"/>
        <v>0</v>
      </c>
      <c r="AO503" s="3">
        <v>4</v>
      </c>
      <c r="AP503" s="3">
        <v>3</v>
      </c>
      <c r="AR503" s="2" t="s">
        <v>2170</v>
      </c>
    </row>
    <row r="504" spans="1:44" ht="12.75" customHeight="1">
      <c r="A504" s="5">
        <v>42836</v>
      </c>
      <c r="C504" s="2" t="s">
        <v>169</v>
      </c>
      <c r="E504" s="18">
        <v>1</v>
      </c>
      <c r="F504" s="18">
        <v>6</v>
      </c>
      <c r="G504" s="18">
        <v>0</v>
      </c>
      <c r="H504" s="18">
        <v>3</v>
      </c>
      <c r="I504" s="18">
        <v>0</v>
      </c>
      <c r="J504" s="18">
        <v>0</v>
      </c>
      <c r="K504" s="18" t="s">
        <v>162</v>
      </c>
      <c r="T504" s="3">
        <f t="shared" si="17"/>
        <v>10</v>
      </c>
      <c r="U504" s="3">
        <v>8</v>
      </c>
      <c r="V504" s="3">
        <v>3</v>
      </c>
      <c r="X504" s="2" t="s">
        <v>2156</v>
      </c>
      <c r="Y504" s="18">
        <v>0</v>
      </c>
      <c r="Z504" s="18">
        <v>2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N504" s="3">
        <f t="shared" si="18"/>
        <v>2</v>
      </c>
      <c r="AO504" s="3">
        <v>7</v>
      </c>
      <c r="AP504" s="3">
        <v>2</v>
      </c>
      <c r="AR504" s="2" t="s">
        <v>2199</v>
      </c>
    </row>
    <row r="505" spans="1:44" ht="12.75" customHeight="1">
      <c r="A505" s="5">
        <v>42864</v>
      </c>
      <c r="B505" s="2" t="s">
        <v>152</v>
      </c>
      <c r="C505" s="2" t="s">
        <v>169</v>
      </c>
      <c r="E505" s="18">
        <v>0</v>
      </c>
      <c r="F505" s="18">
        <v>0</v>
      </c>
      <c r="G505" s="18">
        <v>4</v>
      </c>
      <c r="H505" s="18">
        <v>9</v>
      </c>
      <c r="I505" s="18">
        <v>0</v>
      </c>
      <c r="T505" s="3">
        <f t="shared" si="17"/>
        <v>13</v>
      </c>
      <c r="U505" s="3">
        <v>7</v>
      </c>
      <c r="V505" s="3">
        <v>1</v>
      </c>
      <c r="X505" s="2" t="s">
        <v>2171</v>
      </c>
      <c r="Y505" s="18">
        <v>0</v>
      </c>
      <c r="Z505" s="18">
        <v>0</v>
      </c>
      <c r="AA505" s="18">
        <v>0</v>
      </c>
      <c r="AB505" s="18">
        <v>0</v>
      </c>
      <c r="AC505" s="18">
        <v>0</v>
      </c>
      <c r="AN505" s="3">
        <f t="shared" si="18"/>
        <v>0</v>
      </c>
      <c r="AO505" s="3">
        <v>3</v>
      </c>
      <c r="AP505" s="3">
        <v>0</v>
      </c>
      <c r="AR505" s="2" t="s">
        <v>2183</v>
      </c>
    </row>
    <row r="506" spans="1:44" ht="12.75" customHeight="1">
      <c r="A506" s="5">
        <v>43213</v>
      </c>
      <c r="B506" s="2" t="s">
        <v>152</v>
      </c>
      <c r="C506" s="2" t="s">
        <v>169</v>
      </c>
      <c r="E506" s="18">
        <v>4</v>
      </c>
      <c r="F506" s="18">
        <v>1</v>
      </c>
      <c r="G506" s="18">
        <v>0</v>
      </c>
      <c r="H506" s="18">
        <v>0</v>
      </c>
      <c r="I506" s="18">
        <v>1</v>
      </c>
      <c r="J506" s="18">
        <v>1</v>
      </c>
      <c r="K506" s="18">
        <v>0</v>
      </c>
      <c r="T506" s="3">
        <f t="shared" si="17"/>
        <v>7</v>
      </c>
      <c r="U506" s="3">
        <v>11</v>
      </c>
      <c r="V506" s="3">
        <v>1</v>
      </c>
      <c r="X506" s="2" t="s">
        <v>2312</v>
      </c>
      <c r="Y506" s="18">
        <v>0</v>
      </c>
      <c r="Z506" s="18">
        <v>0</v>
      </c>
      <c r="AA506" s="18">
        <v>0</v>
      </c>
      <c r="AB506" s="18">
        <v>1</v>
      </c>
      <c r="AC506" s="18">
        <v>1</v>
      </c>
      <c r="AD506" s="18">
        <v>0</v>
      </c>
      <c r="AE506" s="18">
        <v>0</v>
      </c>
      <c r="AN506" s="3">
        <f t="shared" si="18"/>
        <v>2</v>
      </c>
      <c r="AO506" s="3">
        <v>8</v>
      </c>
      <c r="AP506" s="3">
        <v>1</v>
      </c>
      <c r="AR506" s="2" t="s">
        <v>2313</v>
      </c>
    </row>
    <row r="507" spans="1:44" ht="12.75" customHeight="1">
      <c r="A507" s="5">
        <v>43559</v>
      </c>
      <c r="C507" s="2" t="s">
        <v>169</v>
      </c>
      <c r="E507" s="18">
        <v>0</v>
      </c>
      <c r="F507" s="18">
        <v>0</v>
      </c>
      <c r="G507" s="18">
        <v>0</v>
      </c>
      <c r="H507" s="18">
        <v>0</v>
      </c>
      <c r="I507" s="18">
        <v>5</v>
      </c>
      <c r="J507" s="18">
        <v>0</v>
      </c>
      <c r="K507" s="18" t="s">
        <v>162</v>
      </c>
      <c r="T507" s="3">
        <f t="shared" si="17"/>
        <v>5</v>
      </c>
      <c r="U507" s="3">
        <v>9</v>
      </c>
      <c r="V507" s="3">
        <v>3</v>
      </c>
      <c r="X507" s="2" t="s">
        <v>2237</v>
      </c>
      <c r="Y507" s="18">
        <v>2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N507" s="3">
        <f t="shared" si="18"/>
        <v>2</v>
      </c>
      <c r="AO507" s="3">
        <v>3</v>
      </c>
      <c r="AP507" s="3">
        <v>2</v>
      </c>
      <c r="AR507" s="2" t="s">
        <v>2254</v>
      </c>
    </row>
    <row r="508" spans="1:44" ht="12.75" customHeight="1">
      <c r="A508" s="5">
        <v>43601</v>
      </c>
      <c r="B508" s="2" t="s">
        <v>152</v>
      </c>
      <c r="C508" s="2" t="s">
        <v>169</v>
      </c>
      <c r="E508" s="18">
        <v>0</v>
      </c>
      <c r="F508" s="18">
        <v>5</v>
      </c>
      <c r="G508" s="18">
        <v>1</v>
      </c>
      <c r="H508" s="18">
        <v>5</v>
      </c>
      <c r="I508" s="18">
        <v>2</v>
      </c>
      <c r="T508" s="3">
        <f t="shared" si="17"/>
        <v>13</v>
      </c>
      <c r="U508" s="3">
        <v>13</v>
      </c>
      <c r="V508" s="3">
        <v>0</v>
      </c>
      <c r="X508" s="2" t="s">
        <v>2267</v>
      </c>
      <c r="Y508" s="18">
        <v>0</v>
      </c>
      <c r="Z508" s="18">
        <v>0</v>
      </c>
      <c r="AA508" s="18">
        <v>0</v>
      </c>
      <c r="AB508" s="18">
        <v>0</v>
      </c>
      <c r="AC508" s="18">
        <v>0</v>
      </c>
      <c r="AN508" s="3">
        <f t="shared" si="18"/>
        <v>0</v>
      </c>
      <c r="AO508" s="3">
        <v>0</v>
      </c>
      <c r="AP508" s="3">
        <v>6</v>
      </c>
      <c r="AR508" s="2" t="s">
        <v>2268</v>
      </c>
    </row>
    <row r="509" spans="1:44" ht="12.75" customHeight="1">
      <c r="A509" s="5">
        <v>44305</v>
      </c>
      <c r="B509" s="2" t="s">
        <v>152</v>
      </c>
      <c r="C509" s="2" t="s">
        <v>169</v>
      </c>
      <c r="E509" s="18">
        <v>0</v>
      </c>
      <c r="F509" s="18">
        <v>0</v>
      </c>
      <c r="G509" s="18">
        <v>0</v>
      </c>
      <c r="H509" s="18">
        <v>7</v>
      </c>
      <c r="I509" s="18">
        <v>2</v>
      </c>
      <c r="J509" s="18">
        <v>0</v>
      </c>
      <c r="K509" s="18">
        <v>0</v>
      </c>
      <c r="T509" s="3">
        <f t="shared" si="17"/>
        <v>9</v>
      </c>
      <c r="U509" s="3">
        <v>4</v>
      </c>
      <c r="V509" s="3">
        <v>2</v>
      </c>
      <c r="X509" s="2" t="s">
        <v>2238</v>
      </c>
      <c r="Y509" s="18">
        <v>0</v>
      </c>
      <c r="Z509" s="18">
        <v>0</v>
      </c>
      <c r="AA509" s="18">
        <v>1</v>
      </c>
      <c r="AB509" s="18">
        <v>1</v>
      </c>
      <c r="AC509" s="18">
        <v>0</v>
      </c>
      <c r="AD509" s="18">
        <v>0</v>
      </c>
      <c r="AE509" s="18">
        <v>0</v>
      </c>
      <c r="AN509" s="3">
        <f t="shared" si="18"/>
        <v>2</v>
      </c>
      <c r="AO509" s="3">
        <v>5</v>
      </c>
      <c r="AP509" s="3">
        <v>2</v>
      </c>
      <c r="AR509" s="2" t="s">
        <v>2289</v>
      </c>
    </row>
    <row r="510" spans="1:44" ht="12.75">
      <c r="A510" s="5">
        <v>44699</v>
      </c>
      <c r="C510" s="2" t="s">
        <v>169</v>
      </c>
      <c r="E510" s="18">
        <v>0</v>
      </c>
      <c r="F510" s="18">
        <v>1</v>
      </c>
      <c r="G510" s="18">
        <v>0</v>
      </c>
      <c r="H510" s="18">
        <v>0</v>
      </c>
      <c r="I510" s="18">
        <v>1</v>
      </c>
      <c r="J510" s="18">
        <v>0</v>
      </c>
      <c r="K510" s="18">
        <v>2</v>
      </c>
      <c r="L510" s="18">
        <v>0</v>
      </c>
      <c r="M510" s="18">
        <v>1</v>
      </c>
      <c r="T510" s="3">
        <v>5</v>
      </c>
      <c r="U510" s="3">
        <v>13</v>
      </c>
      <c r="V510" s="3">
        <v>1</v>
      </c>
      <c r="X510" s="2" t="s">
        <v>2367</v>
      </c>
      <c r="Y510" s="18">
        <v>2</v>
      </c>
      <c r="Z510" s="18">
        <v>0</v>
      </c>
      <c r="AA510" s="18">
        <v>2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N510" s="3">
        <v>4</v>
      </c>
      <c r="AO510" s="3">
        <v>12</v>
      </c>
      <c r="AP510" s="3">
        <v>1</v>
      </c>
      <c r="AR510" s="2" t="s">
        <v>2366</v>
      </c>
    </row>
    <row r="511" spans="1:44" ht="12.75" customHeight="1">
      <c r="A511" s="4">
        <v>17664</v>
      </c>
      <c r="C511" s="2" t="s">
        <v>191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T511" s="3">
        <v>0</v>
      </c>
      <c r="U511" s="3">
        <v>0</v>
      </c>
      <c r="V511" s="3">
        <v>8</v>
      </c>
      <c r="X511" s="2" t="s">
        <v>1752</v>
      </c>
      <c r="Y511" s="18">
        <v>2</v>
      </c>
      <c r="Z511" s="18">
        <v>0</v>
      </c>
      <c r="AA511" s="18">
        <v>0</v>
      </c>
      <c r="AB511" s="18">
        <v>0</v>
      </c>
      <c r="AC511" s="18">
        <v>4</v>
      </c>
      <c r="AD511" s="18">
        <v>3</v>
      </c>
      <c r="AE511" s="18">
        <v>0</v>
      </c>
      <c r="AN511" s="3">
        <v>9</v>
      </c>
      <c r="AO511" s="3">
        <v>5</v>
      </c>
      <c r="AP511" s="3">
        <v>2</v>
      </c>
      <c r="AR511" s="2" t="s">
        <v>335</v>
      </c>
    </row>
    <row r="512" spans="1:44" ht="12.75" customHeight="1">
      <c r="A512" s="4">
        <v>17673</v>
      </c>
      <c r="B512" s="2" t="s">
        <v>152</v>
      </c>
      <c r="C512" s="2" t="s">
        <v>191</v>
      </c>
      <c r="E512" s="18">
        <v>2</v>
      </c>
      <c r="F512" s="18">
        <v>0</v>
      </c>
      <c r="G512" s="18">
        <v>0</v>
      </c>
      <c r="H512" s="18">
        <v>1</v>
      </c>
      <c r="I512" s="18">
        <v>0</v>
      </c>
      <c r="J512" s="18">
        <v>2</v>
      </c>
      <c r="K512" s="18">
        <v>2</v>
      </c>
      <c r="T512" s="3">
        <v>7</v>
      </c>
      <c r="U512" s="3">
        <v>8</v>
      </c>
      <c r="V512" s="3">
        <v>5</v>
      </c>
      <c r="X512" s="2" t="s">
        <v>75</v>
      </c>
      <c r="Y512" s="18">
        <v>0</v>
      </c>
      <c r="Z512" s="18">
        <v>3</v>
      </c>
      <c r="AA512" s="18">
        <v>0</v>
      </c>
      <c r="AB512" s="18">
        <v>1</v>
      </c>
      <c r="AC512" s="18">
        <v>3</v>
      </c>
      <c r="AD512" s="18">
        <v>1</v>
      </c>
      <c r="AE512" s="18" t="s">
        <v>162</v>
      </c>
      <c r="AN512" s="3">
        <v>8</v>
      </c>
      <c r="AO512" s="3">
        <v>10</v>
      </c>
      <c r="AP512" s="3">
        <v>3</v>
      </c>
      <c r="AR512" s="2" t="s">
        <v>335</v>
      </c>
    </row>
    <row r="513" spans="1:44" ht="12.75" customHeight="1">
      <c r="A513" s="4">
        <v>18030</v>
      </c>
      <c r="B513" s="2" t="s">
        <v>152</v>
      </c>
      <c r="C513" s="2" t="s">
        <v>191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1</v>
      </c>
      <c r="K513" s="18">
        <v>0</v>
      </c>
      <c r="T513" s="3">
        <v>1</v>
      </c>
      <c r="U513" s="3">
        <v>2</v>
      </c>
      <c r="V513" s="3">
        <v>7</v>
      </c>
      <c r="X513" s="2" t="s">
        <v>76</v>
      </c>
      <c r="Y513" s="18">
        <v>0</v>
      </c>
      <c r="Z513" s="18">
        <v>1</v>
      </c>
      <c r="AA513" s="18">
        <v>0</v>
      </c>
      <c r="AB513" s="18">
        <v>1</v>
      </c>
      <c r="AC513" s="18">
        <v>1</v>
      </c>
      <c r="AD513" s="18">
        <v>3</v>
      </c>
      <c r="AE513" s="18" t="s">
        <v>162</v>
      </c>
      <c r="AN513" s="3">
        <v>6</v>
      </c>
      <c r="AO513" s="3">
        <v>5</v>
      </c>
      <c r="AP513" s="3">
        <v>6</v>
      </c>
      <c r="AR513" s="2" t="s">
        <v>340</v>
      </c>
    </row>
    <row r="514" spans="1:44" ht="12.75" customHeight="1">
      <c r="A514" s="4">
        <v>18048</v>
      </c>
      <c r="C514" s="2" t="s">
        <v>191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1</v>
      </c>
      <c r="K514" s="18" t="s">
        <v>162</v>
      </c>
      <c r="T514" s="3">
        <v>1</v>
      </c>
      <c r="U514" s="3">
        <v>7</v>
      </c>
      <c r="V514" s="3">
        <v>1</v>
      </c>
      <c r="X514" s="2" t="s">
        <v>80</v>
      </c>
      <c r="Y514" s="18">
        <v>0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N514" s="3">
        <v>0</v>
      </c>
      <c r="AO514" s="3">
        <v>2</v>
      </c>
      <c r="AP514" s="3">
        <v>1</v>
      </c>
      <c r="AR514" s="2" t="s">
        <v>335</v>
      </c>
    </row>
    <row r="515" spans="1:44" ht="12.75" customHeight="1">
      <c r="A515" s="4">
        <v>18379</v>
      </c>
      <c r="C515" s="2" t="s">
        <v>191</v>
      </c>
      <c r="E515" s="18">
        <v>1</v>
      </c>
      <c r="F515" s="18">
        <v>0</v>
      </c>
      <c r="G515" s="18">
        <v>0</v>
      </c>
      <c r="H515" s="18">
        <v>7</v>
      </c>
      <c r="I515" s="18">
        <v>0</v>
      </c>
      <c r="J515" s="18">
        <v>0</v>
      </c>
      <c r="K515" s="18" t="s">
        <v>162</v>
      </c>
      <c r="T515" s="3">
        <f aca="true" t="shared" si="19" ref="T515:T520">SUM(E515:M515)</f>
        <v>8</v>
      </c>
      <c r="U515" s="3">
        <v>5</v>
      </c>
      <c r="V515" s="3">
        <v>6</v>
      </c>
      <c r="X515" s="2" t="s">
        <v>1933</v>
      </c>
      <c r="Y515" s="18">
        <v>0</v>
      </c>
      <c r="Z515" s="18">
        <v>0</v>
      </c>
      <c r="AA515" s="18">
        <v>0</v>
      </c>
      <c r="AB515" s="18">
        <v>0</v>
      </c>
      <c r="AC515" s="18">
        <v>0</v>
      </c>
      <c r="AD515" s="18">
        <v>2</v>
      </c>
      <c r="AE515" s="18">
        <v>4</v>
      </c>
      <c r="AN515" s="3">
        <v>6</v>
      </c>
      <c r="AO515" s="3">
        <v>4</v>
      </c>
      <c r="AP515" s="3">
        <v>1</v>
      </c>
      <c r="AR515" s="2" t="s">
        <v>1934</v>
      </c>
    </row>
    <row r="516" spans="1:44" ht="12.75" customHeight="1">
      <c r="A516" s="4">
        <f>DATE(51,5,9)</f>
        <v>18757</v>
      </c>
      <c r="B516" s="2" t="s">
        <v>152</v>
      </c>
      <c r="C516" s="2" t="s">
        <v>191</v>
      </c>
      <c r="E516" s="18">
        <v>0</v>
      </c>
      <c r="F516" s="18">
        <v>1</v>
      </c>
      <c r="G516" s="18">
        <v>3</v>
      </c>
      <c r="H516" s="18">
        <v>0</v>
      </c>
      <c r="I516" s="18">
        <v>3</v>
      </c>
      <c r="J516" s="18">
        <v>0</v>
      </c>
      <c r="K516" s="18">
        <v>0</v>
      </c>
      <c r="T516" s="3">
        <f t="shared" si="19"/>
        <v>7</v>
      </c>
      <c r="U516" s="3">
        <v>10</v>
      </c>
      <c r="V516" s="3">
        <v>6</v>
      </c>
      <c r="X516" s="2" t="s">
        <v>1947</v>
      </c>
      <c r="Y516" s="18">
        <v>2</v>
      </c>
      <c r="Z516" s="18">
        <v>3</v>
      </c>
      <c r="AA516" s="18">
        <v>1</v>
      </c>
      <c r="AB516" s="18">
        <v>0</v>
      </c>
      <c r="AC516" s="18">
        <v>5</v>
      </c>
      <c r="AD516" s="18">
        <v>0</v>
      </c>
      <c r="AE516" s="18" t="s">
        <v>162</v>
      </c>
      <c r="AN516" s="3">
        <v>11</v>
      </c>
      <c r="AO516" s="3">
        <v>11</v>
      </c>
      <c r="AP516" s="3">
        <v>1</v>
      </c>
      <c r="AR516" s="2" t="s">
        <v>422</v>
      </c>
    </row>
    <row r="517" spans="1:44" ht="12.75" customHeight="1">
      <c r="A517" s="4">
        <f>DATE(52,5,2)</f>
        <v>19116</v>
      </c>
      <c r="B517" s="2" t="s">
        <v>152</v>
      </c>
      <c r="C517" s="2" t="s">
        <v>191</v>
      </c>
      <c r="E517" s="18">
        <v>5</v>
      </c>
      <c r="F517" s="18">
        <v>1</v>
      </c>
      <c r="G517" s="18">
        <v>0</v>
      </c>
      <c r="H517" s="18">
        <v>0</v>
      </c>
      <c r="I517" s="18">
        <v>2</v>
      </c>
      <c r="J517" s="18">
        <v>2</v>
      </c>
      <c r="K517" s="18">
        <v>3</v>
      </c>
      <c r="T517" s="3">
        <f t="shared" si="19"/>
        <v>13</v>
      </c>
      <c r="U517" s="3">
        <v>11</v>
      </c>
      <c r="V517" s="3">
        <v>3</v>
      </c>
      <c r="X517" s="2" t="s">
        <v>1947</v>
      </c>
      <c r="Y517" s="18">
        <v>2</v>
      </c>
      <c r="Z517" s="18">
        <v>4</v>
      </c>
      <c r="AA517" s="18">
        <v>0</v>
      </c>
      <c r="AB517" s="18">
        <v>0</v>
      </c>
      <c r="AC517" s="18">
        <v>0</v>
      </c>
      <c r="AD517" s="18">
        <v>2</v>
      </c>
      <c r="AE517" s="18">
        <v>2</v>
      </c>
      <c r="AN517" s="3">
        <v>10</v>
      </c>
      <c r="AO517" s="3">
        <v>8</v>
      </c>
      <c r="AP517" s="3">
        <v>5</v>
      </c>
      <c r="AR517" s="2" t="s">
        <v>1950</v>
      </c>
    </row>
    <row r="518" spans="1:44" ht="12.75" customHeight="1">
      <c r="A518" s="4">
        <f>DATE(52,5,16)</f>
        <v>19130</v>
      </c>
      <c r="C518" s="2" t="s">
        <v>191</v>
      </c>
      <c r="E518" s="18">
        <v>1</v>
      </c>
      <c r="F518" s="18">
        <v>0</v>
      </c>
      <c r="G518" s="18">
        <v>0</v>
      </c>
      <c r="H518" s="18">
        <v>0</v>
      </c>
      <c r="I518" s="18">
        <v>3</v>
      </c>
      <c r="J518" s="18">
        <v>0</v>
      </c>
      <c r="K518" s="18" t="s">
        <v>162</v>
      </c>
      <c r="T518" s="3">
        <f t="shared" si="19"/>
        <v>4</v>
      </c>
      <c r="U518" s="3">
        <v>4</v>
      </c>
      <c r="V518" s="3">
        <v>3</v>
      </c>
      <c r="X518" s="2" t="s">
        <v>637</v>
      </c>
      <c r="Y518" s="18">
        <v>3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N518" s="3">
        <v>3</v>
      </c>
      <c r="AO518" s="3">
        <v>5</v>
      </c>
      <c r="AP518" s="3">
        <v>3</v>
      </c>
      <c r="AR518" s="2" t="s">
        <v>643</v>
      </c>
    </row>
    <row r="519" spans="1:44" ht="12.75" customHeight="1">
      <c r="A519" s="4">
        <f>DATE(53,4,29)</f>
        <v>19478</v>
      </c>
      <c r="C519" s="2" t="s">
        <v>191</v>
      </c>
      <c r="E519" s="18">
        <v>0</v>
      </c>
      <c r="F519" s="18">
        <v>3</v>
      </c>
      <c r="G519" s="18">
        <v>4</v>
      </c>
      <c r="H519" s="18">
        <v>1</v>
      </c>
      <c r="I519" s="18">
        <v>7</v>
      </c>
      <c r="J519" s="18">
        <v>0</v>
      </c>
      <c r="K519" s="18" t="s">
        <v>162</v>
      </c>
      <c r="T519" s="3">
        <f t="shared" si="19"/>
        <v>15</v>
      </c>
      <c r="U519" s="3">
        <v>10</v>
      </c>
      <c r="V519" s="3">
        <v>1</v>
      </c>
      <c r="X519" s="2" t="s">
        <v>2</v>
      </c>
      <c r="Y519" s="18">
        <v>0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1</v>
      </c>
      <c r="AN519" s="3">
        <v>1</v>
      </c>
      <c r="AO519" s="3">
        <v>3</v>
      </c>
      <c r="AP519" s="3">
        <v>4</v>
      </c>
      <c r="AR519" s="2" t="s">
        <v>1950</v>
      </c>
    </row>
    <row r="520" spans="1:44" ht="12.75" customHeight="1">
      <c r="A520" s="4">
        <f>DATE(53,5,19)</f>
        <v>19498</v>
      </c>
      <c r="B520" s="2" t="s">
        <v>152</v>
      </c>
      <c r="C520" s="2" t="s">
        <v>191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1</v>
      </c>
      <c r="K520" s="18">
        <v>0</v>
      </c>
      <c r="T520" s="3">
        <f t="shared" si="19"/>
        <v>1</v>
      </c>
      <c r="U520" s="3">
        <v>5</v>
      </c>
      <c r="V520" s="3">
        <v>2</v>
      </c>
      <c r="X520" s="2" t="s">
        <v>644</v>
      </c>
      <c r="Y520" s="18">
        <v>0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  <c r="AE520" s="18">
        <v>0</v>
      </c>
      <c r="AN520" s="3">
        <v>0</v>
      </c>
      <c r="AO520" s="3">
        <v>1</v>
      </c>
      <c r="AP520" s="3">
        <v>1</v>
      </c>
      <c r="AR520" s="2" t="s">
        <v>655</v>
      </c>
    </row>
    <row r="521" spans="1:44" ht="12.75" customHeight="1">
      <c r="A521" s="4">
        <f>DATE(54,5,17)</f>
        <v>19861</v>
      </c>
      <c r="B521" s="2" t="s">
        <v>152</v>
      </c>
      <c r="C521" s="2" t="s">
        <v>191</v>
      </c>
      <c r="E521" s="18">
        <v>3</v>
      </c>
      <c r="F521" s="18">
        <v>3</v>
      </c>
      <c r="G521" s="18">
        <v>1</v>
      </c>
      <c r="H521" s="18">
        <v>0</v>
      </c>
      <c r="I521" s="18">
        <v>0</v>
      </c>
      <c r="J521" s="18">
        <v>0</v>
      </c>
      <c r="K521" s="18">
        <v>0</v>
      </c>
      <c r="T521" s="3">
        <v>7</v>
      </c>
      <c r="U521" s="3">
        <v>12</v>
      </c>
      <c r="V521" s="3">
        <v>0</v>
      </c>
      <c r="X521" s="2" t="s">
        <v>6</v>
      </c>
      <c r="Y521" s="18">
        <v>3</v>
      </c>
      <c r="Z521" s="18">
        <v>0</v>
      </c>
      <c r="AA521" s="18">
        <v>1</v>
      </c>
      <c r="AB521" s="18">
        <v>1</v>
      </c>
      <c r="AC521" s="18">
        <v>2</v>
      </c>
      <c r="AD521" s="18">
        <v>2</v>
      </c>
      <c r="AE521" s="18" t="s">
        <v>162</v>
      </c>
      <c r="AN521" s="3">
        <v>9</v>
      </c>
      <c r="AO521" s="3">
        <v>10</v>
      </c>
      <c r="AP521" s="3">
        <v>0</v>
      </c>
      <c r="AR521" s="2" t="s">
        <v>9</v>
      </c>
    </row>
    <row r="522" spans="1:44" ht="12.75" customHeight="1">
      <c r="A522" s="4">
        <f>DATE(54,5,21)</f>
        <v>19865</v>
      </c>
      <c r="C522" s="2" t="s">
        <v>191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1</v>
      </c>
      <c r="K522" s="18">
        <v>1</v>
      </c>
      <c r="T522" s="3">
        <v>2</v>
      </c>
      <c r="U522" s="3">
        <v>4</v>
      </c>
      <c r="V522" s="3">
        <v>6</v>
      </c>
      <c r="X522" s="2" t="s">
        <v>664</v>
      </c>
      <c r="Y522" s="18">
        <v>0</v>
      </c>
      <c r="Z522" s="18">
        <v>1</v>
      </c>
      <c r="AA522" s="18">
        <v>1</v>
      </c>
      <c r="AB522" s="18">
        <v>2</v>
      </c>
      <c r="AC522" s="18">
        <v>0</v>
      </c>
      <c r="AD522" s="18">
        <v>0</v>
      </c>
      <c r="AE522" s="18">
        <v>0</v>
      </c>
      <c r="AN522" s="3">
        <v>4</v>
      </c>
      <c r="AO522" s="3">
        <v>5</v>
      </c>
      <c r="AP522" s="3">
        <v>3</v>
      </c>
      <c r="AR522" s="2" t="s">
        <v>665</v>
      </c>
    </row>
    <row r="523" spans="1:44" ht="12.75" customHeight="1">
      <c r="A523" s="4">
        <f>DATE(55,5,16)</f>
        <v>20225</v>
      </c>
      <c r="C523" s="2" t="s">
        <v>191</v>
      </c>
      <c r="E523" s="18">
        <v>0</v>
      </c>
      <c r="F523" s="18">
        <v>0</v>
      </c>
      <c r="G523" s="18">
        <v>0</v>
      </c>
      <c r="H523" s="18">
        <v>0</v>
      </c>
      <c r="I523" s="18">
        <v>3</v>
      </c>
      <c r="J523" s="18">
        <v>1</v>
      </c>
      <c r="K523" s="18" t="s">
        <v>162</v>
      </c>
      <c r="T523" s="3">
        <v>4</v>
      </c>
      <c r="U523" s="3">
        <v>7</v>
      </c>
      <c r="V523" s="3">
        <v>1</v>
      </c>
      <c r="X523" s="2" t="s">
        <v>661</v>
      </c>
      <c r="Y523" s="18">
        <v>1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N523" s="3">
        <v>1</v>
      </c>
      <c r="AO523" s="3">
        <v>4</v>
      </c>
      <c r="AP523" s="3">
        <v>3</v>
      </c>
      <c r="AR523" s="2" t="s">
        <v>673</v>
      </c>
    </row>
    <row r="524" spans="1:44" ht="12.75" customHeight="1">
      <c r="A524" s="4">
        <f>DATE(55,5,20)</f>
        <v>20229</v>
      </c>
      <c r="B524" s="2" t="s">
        <v>152</v>
      </c>
      <c r="C524" s="2" t="s">
        <v>191</v>
      </c>
      <c r="E524" s="18">
        <v>0</v>
      </c>
      <c r="F524" s="18">
        <v>0</v>
      </c>
      <c r="G524" s="18">
        <v>0</v>
      </c>
      <c r="H524" s="18">
        <v>0</v>
      </c>
      <c r="I524" s="18">
        <v>1</v>
      </c>
      <c r="J524" s="18">
        <v>3</v>
      </c>
      <c r="K524" s="18">
        <v>0</v>
      </c>
      <c r="T524" s="3">
        <v>4</v>
      </c>
      <c r="U524" s="3">
        <v>7</v>
      </c>
      <c r="V524" s="3">
        <v>0</v>
      </c>
      <c r="X524" s="2" t="s">
        <v>663</v>
      </c>
      <c r="Y524" s="18">
        <v>0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  <c r="AE524" s="18">
        <v>0</v>
      </c>
      <c r="AN524" s="3">
        <v>0</v>
      </c>
      <c r="AO524" s="3">
        <v>5</v>
      </c>
      <c r="AP524" s="3">
        <v>0</v>
      </c>
      <c r="AR524" s="2" t="s">
        <v>675</v>
      </c>
    </row>
    <row r="525" spans="1:44" ht="12.75" customHeight="1">
      <c r="A525" s="4">
        <f>DATE(56,5,17)</f>
        <v>20592</v>
      </c>
      <c r="C525" s="2" t="s">
        <v>191</v>
      </c>
      <c r="E525" s="18">
        <v>4</v>
      </c>
      <c r="F525" s="18">
        <v>1</v>
      </c>
      <c r="G525" s="18">
        <v>3</v>
      </c>
      <c r="H525" s="18">
        <v>0</v>
      </c>
      <c r="I525" s="18">
        <v>0</v>
      </c>
      <c r="J525" s="18">
        <v>0</v>
      </c>
      <c r="K525" s="18" t="s">
        <v>162</v>
      </c>
      <c r="T525" s="3">
        <v>8</v>
      </c>
      <c r="U525" s="3">
        <v>10</v>
      </c>
      <c r="V525" s="3">
        <v>8</v>
      </c>
      <c r="X525" s="2" t="s">
        <v>672</v>
      </c>
      <c r="Y525" s="18">
        <v>3</v>
      </c>
      <c r="Z525" s="18">
        <v>0</v>
      </c>
      <c r="AA525" s="18">
        <v>0</v>
      </c>
      <c r="AB525" s="18">
        <v>2</v>
      </c>
      <c r="AC525" s="18">
        <v>0</v>
      </c>
      <c r="AD525" s="18">
        <v>1</v>
      </c>
      <c r="AE525" s="18">
        <v>0</v>
      </c>
      <c r="AN525" s="3">
        <v>6</v>
      </c>
      <c r="AO525" s="3">
        <v>7</v>
      </c>
      <c r="AP525" s="3">
        <v>2</v>
      </c>
      <c r="AR525" s="2" t="s">
        <v>224</v>
      </c>
    </row>
    <row r="526" spans="1:44" ht="12.75" customHeight="1">
      <c r="A526" s="4">
        <f>DATE(84,4,21)</f>
        <v>30793</v>
      </c>
      <c r="B526" s="2" t="s">
        <v>152</v>
      </c>
      <c r="C526" s="2" t="s">
        <v>191</v>
      </c>
      <c r="E526" s="18">
        <v>0</v>
      </c>
      <c r="F526" s="18">
        <v>1</v>
      </c>
      <c r="G526" s="18">
        <v>1</v>
      </c>
      <c r="H526" s="18">
        <v>0</v>
      </c>
      <c r="I526" s="18">
        <v>6</v>
      </c>
      <c r="J526" s="18">
        <v>0</v>
      </c>
      <c r="K526" s="18">
        <v>2</v>
      </c>
      <c r="T526" s="3">
        <v>10</v>
      </c>
      <c r="U526" s="3">
        <v>9</v>
      </c>
      <c r="V526" s="3">
        <v>3</v>
      </c>
      <c r="X526" s="2" t="s">
        <v>1443</v>
      </c>
      <c r="Y526" s="18">
        <v>0</v>
      </c>
      <c r="Z526" s="18">
        <v>2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N526" s="3">
        <v>2</v>
      </c>
      <c r="AO526" s="3">
        <v>4</v>
      </c>
      <c r="AP526" s="3">
        <v>6</v>
      </c>
      <c r="AR526" s="2" t="s">
        <v>1460</v>
      </c>
    </row>
    <row r="527" spans="1:44" ht="12.75" customHeight="1">
      <c r="A527" s="4">
        <f>DATE(84,4,21)</f>
        <v>30793</v>
      </c>
      <c r="B527" s="2" t="s">
        <v>152</v>
      </c>
      <c r="C527" s="2" t="s">
        <v>191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3</v>
      </c>
      <c r="K527" s="18">
        <v>1</v>
      </c>
      <c r="T527" s="3">
        <v>4</v>
      </c>
      <c r="U527" s="3">
        <v>7</v>
      </c>
      <c r="V527" s="3">
        <v>0</v>
      </c>
      <c r="X527" s="2" t="s">
        <v>1378</v>
      </c>
      <c r="Y527" s="18">
        <v>0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  <c r="AE527" s="18">
        <v>0</v>
      </c>
      <c r="AN527" s="3">
        <v>0</v>
      </c>
      <c r="AO527" s="3">
        <v>0</v>
      </c>
      <c r="AP527" s="3">
        <v>3</v>
      </c>
      <c r="AR527" s="2" t="s">
        <v>1461</v>
      </c>
    </row>
    <row r="528" spans="1:44" ht="12.75" customHeight="1">
      <c r="A528" s="4">
        <f>DATE(85,4,20)</f>
        <v>31157</v>
      </c>
      <c r="C528" s="2" t="s">
        <v>191</v>
      </c>
      <c r="E528" s="18">
        <v>0</v>
      </c>
      <c r="F528" s="18">
        <v>0</v>
      </c>
      <c r="G528" s="18">
        <v>0</v>
      </c>
      <c r="H528" s="18">
        <v>3</v>
      </c>
      <c r="I528" s="18">
        <v>1</v>
      </c>
      <c r="J528" s="18">
        <v>0</v>
      </c>
      <c r="K528" s="18">
        <v>0</v>
      </c>
      <c r="T528" s="3">
        <v>4</v>
      </c>
      <c r="U528" s="3">
        <v>10</v>
      </c>
      <c r="V528" s="3">
        <v>1</v>
      </c>
      <c r="X528" s="2" t="s">
        <v>1490</v>
      </c>
      <c r="Y528" s="18">
        <v>1</v>
      </c>
      <c r="Z528" s="18">
        <v>0</v>
      </c>
      <c r="AA528" s="18">
        <v>0</v>
      </c>
      <c r="AB528" s="18">
        <v>0</v>
      </c>
      <c r="AC528" s="18">
        <v>0</v>
      </c>
      <c r="AD528" s="18">
        <v>5</v>
      </c>
      <c r="AE528" s="18">
        <v>1</v>
      </c>
      <c r="AN528" s="3">
        <v>7</v>
      </c>
      <c r="AO528" s="3">
        <v>9</v>
      </c>
      <c r="AP528" s="3">
        <v>0</v>
      </c>
      <c r="AR528" s="2" t="s">
        <v>1491</v>
      </c>
    </row>
    <row r="529" spans="1:44" ht="12.75" customHeight="1">
      <c r="A529" s="4">
        <f>DATE(85,5,16)</f>
        <v>31183</v>
      </c>
      <c r="B529" s="2" t="s">
        <v>239</v>
      </c>
      <c r="C529" s="2" t="s">
        <v>191</v>
      </c>
      <c r="D529" s="2" t="s">
        <v>258</v>
      </c>
      <c r="E529" s="18">
        <v>0</v>
      </c>
      <c r="F529" s="18">
        <v>0</v>
      </c>
      <c r="G529" s="18">
        <v>2</v>
      </c>
      <c r="H529" s="18">
        <v>0</v>
      </c>
      <c r="I529" s="18">
        <v>2</v>
      </c>
      <c r="J529" s="18">
        <v>0</v>
      </c>
      <c r="K529" s="18">
        <v>0</v>
      </c>
      <c r="T529" s="3">
        <v>4</v>
      </c>
      <c r="U529" s="3">
        <v>5</v>
      </c>
      <c r="V529" s="3">
        <v>6</v>
      </c>
      <c r="X529" s="2" t="s">
        <v>1457</v>
      </c>
      <c r="Y529" s="18">
        <v>1</v>
      </c>
      <c r="Z529" s="18">
        <v>0</v>
      </c>
      <c r="AA529" s="18">
        <v>1</v>
      </c>
      <c r="AB529" s="18">
        <v>1</v>
      </c>
      <c r="AC529" s="18">
        <v>0</v>
      </c>
      <c r="AD529" s="18">
        <v>0</v>
      </c>
      <c r="AE529" s="18">
        <v>2</v>
      </c>
      <c r="AN529" s="3">
        <v>5</v>
      </c>
      <c r="AO529" s="3">
        <v>5</v>
      </c>
      <c r="AP529" s="3">
        <v>2</v>
      </c>
      <c r="AR529" s="2" t="s">
        <v>1512</v>
      </c>
    </row>
    <row r="530" spans="1:44" ht="12.75" customHeight="1">
      <c r="A530" s="4">
        <f>DATE(86,4,19)</f>
        <v>31521</v>
      </c>
      <c r="B530" s="2" t="s">
        <v>152</v>
      </c>
      <c r="C530" s="2" t="s">
        <v>191</v>
      </c>
      <c r="E530" s="18">
        <v>1</v>
      </c>
      <c r="F530" s="18">
        <v>0</v>
      </c>
      <c r="G530" s="18">
        <v>5</v>
      </c>
      <c r="H530" s="18">
        <v>0</v>
      </c>
      <c r="I530" s="18">
        <v>0</v>
      </c>
      <c r="J530" s="18">
        <v>1</v>
      </c>
      <c r="K530" s="18">
        <v>0</v>
      </c>
      <c r="T530" s="3">
        <v>7</v>
      </c>
      <c r="U530" s="3">
        <v>8</v>
      </c>
      <c r="V530" s="3">
        <v>4</v>
      </c>
      <c r="X530" s="2" t="s">
        <v>1530</v>
      </c>
      <c r="Y530" s="18">
        <v>1</v>
      </c>
      <c r="Z530" s="18">
        <v>0</v>
      </c>
      <c r="AA530" s="18">
        <v>5</v>
      </c>
      <c r="AB530" s="18">
        <v>0</v>
      </c>
      <c r="AC530" s="18">
        <v>5</v>
      </c>
      <c r="AD530" s="18">
        <v>2</v>
      </c>
      <c r="AE530" s="18" t="s">
        <v>162</v>
      </c>
      <c r="AN530" s="3">
        <v>13</v>
      </c>
      <c r="AO530" s="3">
        <v>12</v>
      </c>
      <c r="AP530" s="3">
        <v>5</v>
      </c>
      <c r="AR530" s="2" t="s">
        <v>1532</v>
      </c>
    </row>
    <row r="531" spans="1:44" ht="12.75" customHeight="1">
      <c r="A531" s="4">
        <f>DATE(86,4,26)</f>
        <v>31528</v>
      </c>
      <c r="C531" s="2" t="s">
        <v>191</v>
      </c>
      <c r="E531" s="18">
        <v>0</v>
      </c>
      <c r="F531" s="18">
        <v>1</v>
      </c>
      <c r="G531" s="18">
        <v>0</v>
      </c>
      <c r="H531" s="18">
        <v>0</v>
      </c>
      <c r="I531" s="18">
        <v>4</v>
      </c>
      <c r="J531" s="18">
        <v>0</v>
      </c>
      <c r="K531" s="18">
        <v>1</v>
      </c>
      <c r="T531" s="3">
        <v>6</v>
      </c>
      <c r="U531" s="3">
        <v>9</v>
      </c>
      <c r="V531" s="3">
        <v>3</v>
      </c>
      <c r="X531" s="2" t="s">
        <v>1536</v>
      </c>
      <c r="Y531" s="18">
        <v>1</v>
      </c>
      <c r="Z531" s="18">
        <v>2</v>
      </c>
      <c r="AA531" s="18">
        <v>0</v>
      </c>
      <c r="AB531" s="18">
        <v>5</v>
      </c>
      <c r="AC531" s="18">
        <v>3</v>
      </c>
      <c r="AD531" s="18">
        <v>1</v>
      </c>
      <c r="AE531" s="18">
        <v>0</v>
      </c>
      <c r="AN531" s="3">
        <v>12</v>
      </c>
      <c r="AO531" s="3">
        <v>11</v>
      </c>
      <c r="AP531" s="3">
        <v>1</v>
      </c>
      <c r="AR531" s="2" t="s">
        <v>1537</v>
      </c>
    </row>
    <row r="532" spans="1:44" ht="12.75" customHeight="1">
      <c r="A532" s="4">
        <f>DATE(86,5,22)</f>
        <v>31554</v>
      </c>
      <c r="C532" s="2" t="s">
        <v>191</v>
      </c>
      <c r="D532" s="2" t="s">
        <v>258</v>
      </c>
      <c r="E532" s="18">
        <v>0</v>
      </c>
      <c r="F532" s="18">
        <v>0</v>
      </c>
      <c r="G532" s="18">
        <v>0</v>
      </c>
      <c r="H532" s="18">
        <v>3</v>
      </c>
      <c r="I532" s="18">
        <v>0</v>
      </c>
      <c r="J532" s="18">
        <v>8</v>
      </c>
      <c r="K532" s="18">
        <v>2</v>
      </c>
      <c r="T532" s="3">
        <v>13</v>
      </c>
      <c r="U532" s="3">
        <v>14</v>
      </c>
      <c r="V532" s="3">
        <v>1</v>
      </c>
      <c r="X532" s="2" t="s">
        <v>1548</v>
      </c>
      <c r="Y532" s="18">
        <v>2</v>
      </c>
      <c r="Z532" s="18">
        <v>0</v>
      </c>
      <c r="AA532" s="18">
        <v>0</v>
      </c>
      <c r="AB532" s="18">
        <v>3</v>
      </c>
      <c r="AC532" s="18">
        <v>0</v>
      </c>
      <c r="AD532" s="18">
        <v>0</v>
      </c>
      <c r="AE532" s="18">
        <v>0</v>
      </c>
      <c r="AN532" s="3">
        <v>5</v>
      </c>
      <c r="AO532" s="3">
        <v>9</v>
      </c>
      <c r="AP532" s="3">
        <v>3</v>
      </c>
      <c r="AR532" s="2" t="s">
        <v>1549</v>
      </c>
    </row>
    <row r="533" spans="1:44" ht="12.75" customHeight="1">
      <c r="A533" s="4">
        <f>DATE(87,4,18)</f>
        <v>31885</v>
      </c>
      <c r="C533" s="2" t="s">
        <v>191</v>
      </c>
      <c r="E533" s="18">
        <v>1</v>
      </c>
      <c r="F533" s="18">
        <v>0</v>
      </c>
      <c r="G533" s="18">
        <v>1</v>
      </c>
      <c r="H533" s="18">
        <v>0</v>
      </c>
      <c r="I533" s="18">
        <v>2</v>
      </c>
      <c r="J533" s="18">
        <v>5</v>
      </c>
      <c r="K533" s="18">
        <v>0</v>
      </c>
      <c r="L533" s="18">
        <v>1</v>
      </c>
      <c r="T533" s="3">
        <v>10</v>
      </c>
      <c r="U533" s="3">
        <v>11</v>
      </c>
      <c r="V533" s="3">
        <v>1</v>
      </c>
      <c r="X533" s="2" t="s">
        <v>1571</v>
      </c>
      <c r="Y533" s="18">
        <v>0</v>
      </c>
      <c r="Z533" s="18">
        <v>1</v>
      </c>
      <c r="AA533" s="18">
        <v>4</v>
      </c>
      <c r="AB533" s="18">
        <v>0</v>
      </c>
      <c r="AC533" s="18">
        <v>0</v>
      </c>
      <c r="AD533" s="18">
        <v>1</v>
      </c>
      <c r="AE533" s="18">
        <v>3</v>
      </c>
      <c r="AF533" s="18">
        <v>0</v>
      </c>
      <c r="AN533" s="3">
        <v>9</v>
      </c>
      <c r="AO533" s="3">
        <v>13</v>
      </c>
      <c r="AP533" s="3">
        <v>2</v>
      </c>
      <c r="AR533" s="2" t="s">
        <v>1572</v>
      </c>
    </row>
    <row r="534" spans="1:44" ht="12.75" customHeight="1">
      <c r="A534" s="4">
        <f>DATE(87,5,22)</f>
        <v>31919</v>
      </c>
      <c r="B534" s="2" t="s">
        <v>239</v>
      </c>
      <c r="C534" s="2" t="s">
        <v>191</v>
      </c>
      <c r="D534" s="2" t="s">
        <v>258</v>
      </c>
      <c r="E534" s="18">
        <v>0</v>
      </c>
      <c r="F534" s="18">
        <v>0</v>
      </c>
      <c r="G534" s="18">
        <v>0</v>
      </c>
      <c r="H534" s="18">
        <v>4</v>
      </c>
      <c r="I534" s="18">
        <v>0</v>
      </c>
      <c r="J534" s="18">
        <v>1</v>
      </c>
      <c r="K534" s="18">
        <v>1</v>
      </c>
      <c r="T534" s="3">
        <v>6</v>
      </c>
      <c r="U534" s="3">
        <v>11</v>
      </c>
      <c r="V534" s="3">
        <v>4</v>
      </c>
      <c r="X534" s="2" t="s">
        <v>1556</v>
      </c>
      <c r="Y534" s="18">
        <v>3</v>
      </c>
      <c r="Z534" s="18">
        <v>2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N534" s="3">
        <v>5</v>
      </c>
      <c r="AO534" s="3">
        <v>7</v>
      </c>
      <c r="AP534" s="3">
        <v>4</v>
      </c>
      <c r="AR534" s="2" t="s">
        <v>1588</v>
      </c>
    </row>
    <row r="535" spans="1:44" ht="12.75" customHeight="1">
      <c r="A535" s="4">
        <f>DATE(88,4,23)</f>
        <v>32256</v>
      </c>
      <c r="B535" s="2" t="s">
        <v>152</v>
      </c>
      <c r="C535" s="2" t="s">
        <v>191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6</v>
      </c>
      <c r="K535" s="18">
        <v>0</v>
      </c>
      <c r="T535" s="3">
        <v>6</v>
      </c>
      <c r="U535" s="3">
        <v>5</v>
      </c>
      <c r="V535" s="3">
        <v>4</v>
      </c>
      <c r="X535" s="2" t="s">
        <v>1611</v>
      </c>
      <c r="Y535" s="18">
        <v>0</v>
      </c>
      <c r="Z535" s="18">
        <v>2</v>
      </c>
      <c r="AA535" s="18">
        <v>2</v>
      </c>
      <c r="AB535" s="18">
        <v>0</v>
      </c>
      <c r="AC535" s="18">
        <v>3</v>
      </c>
      <c r="AD535" s="18">
        <v>0</v>
      </c>
      <c r="AE535" s="18" t="s">
        <v>162</v>
      </c>
      <c r="AN535" s="3">
        <v>7</v>
      </c>
      <c r="AO535" s="3">
        <v>10</v>
      </c>
      <c r="AP535" s="3">
        <v>0</v>
      </c>
      <c r="AR535" s="2" t="s">
        <v>1537</v>
      </c>
    </row>
    <row r="536" spans="1:44" ht="12.75" customHeight="1">
      <c r="A536" s="4">
        <f>DATE(88,5,26)</f>
        <v>32289</v>
      </c>
      <c r="B536" s="2" t="s">
        <v>152</v>
      </c>
      <c r="C536" s="2" t="s">
        <v>191</v>
      </c>
      <c r="D536" s="2" t="s">
        <v>258</v>
      </c>
      <c r="E536" s="18">
        <v>1</v>
      </c>
      <c r="F536" s="18">
        <v>0</v>
      </c>
      <c r="G536" s="18">
        <v>5</v>
      </c>
      <c r="H536" s="18">
        <v>0</v>
      </c>
      <c r="I536" s="18">
        <v>1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2</v>
      </c>
      <c r="T536" s="3">
        <v>9</v>
      </c>
      <c r="U536" s="3">
        <v>15</v>
      </c>
      <c r="V536" s="3">
        <v>2</v>
      </c>
      <c r="X536" s="2" t="s">
        <v>1626</v>
      </c>
      <c r="Y536" s="18">
        <v>3</v>
      </c>
      <c r="Z536" s="18">
        <v>0</v>
      </c>
      <c r="AA536" s="18">
        <v>3</v>
      </c>
      <c r="AB536" s="18">
        <v>1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</v>
      </c>
      <c r="AK536" s="18">
        <v>0</v>
      </c>
      <c r="AL536" s="18">
        <v>0</v>
      </c>
      <c r="AM536" s="18">
        <v>0</v>
      </c>
      <c r="AN536" s="3">
        <v>7</v>
      </c>
      <c r="AO536" s="3">
        <v>15</v>
      </c>
      <c r="AP536" s="3">
        <v>2</v>
      </c>
      <c r="AR536" s="2" t="s">
        <v>1627</v>
      </c>
    </row>
    <row r="537" spans="1:44" ht="12.75" customHeight="1">
      <c r="A537" s="4">
        <f>DATE(89,4,22)</f>
        <v>32620</v>
      </c>
      <c r="C537" s="2" t="s">
        <v>191</v>
      </c>
      <c r="E537" s="18">
        <v>0</v>
      </c>
      <c r="F537" s="18">
        <v>0</v>
      </c>
      <c r="G537" s="18">
        <v>0</v>
      </c>
      <c r="H537" s="18">
        <v>0</v>
      </c>
      <c r="I537" s="18">
        <v>1</v>
      </c>
      <c r="J537" s="18">
        <v>0</v>
      </c>
      <c r="T537" s="3">
        <v>1</v>
      </c>
      <c r="U537" s="3">
        <v>2</v>
      </c>
      <c r="V537" s="3">
        <v>1</v>
      </c>
      <c r="X537" s="2" t="s">
        <v>1644</v>
      </c>
      <c r="Y537" s="18">
        <v>1</v>
      </c>
      <c r="Z537" s="18">
        <v>2</v>
      </c>
      <c r="AA537" s="18">
        <v>1</v>
      </c>
      <c r="AB537" s="18">
        <v>2</v>
      </c>
      <c r="AC537" s="18">
        <v>3</v>
      </c>
      <c r="AD537" s="18">
        <v>2</v>
      </c>
      <c r="AN537" s="3">
        <v>11</v>
      </c>
      <c r="AO537" s="3">
        <v>14</v>
      </c>
      <c r="AP537" s="3">
        <v>2</v>
      </c>
      <c r="AR537" s="2" t="s">
        <v>1645</v>
      </c>
    </row>
    <row r="538" spans="1:44" ht="12.75" customHeight="1">
      <c r="A538" s="4">
        <f>DATE(89,5,25)</f>
        <v>32653</v>
      </c>
      <c r="B538" s="2" t="s">
        <v>239</v>
      </c>
      <c r="C538" s="2" t="s">
        <v>191</v>
      </c>
      <c r="D538" s="2" t="s">
        <v>258</v>
      </c>
      <c r="E538" s="18">
        <v>1</v>
      </c>
      <c r="F538" s="18">
        <v>0</v>
      </c>
      <c r="G538" s="18">
        <v>3</v>
      </c>
      <c r="H538" s="18">
        <v>0</v>
      </c>
      <c r="I538" s="18">
        <v>1</v>
      </c>
      <c r="J538" s="18">
        <v>0</v>
      </c>
      <c r="K538" s="18">
        <v>0</v>
      </c>
      <c r="T538" s="3">
        <v>5</v>
      </c>
      <c r="U538" s="3">
        <v>8</v>
      </c>
      <c r="V538" s="3">
        <v>0</v>
      </c>
      <c r="X538" s="2" t="s">
        <v>1636</v>
      </c>
      <c r="Y538" s="18">
        <v>3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  <c r="AE538" s="18">
        <v>0</v>
      </c>
      <c r="AN538" s="3">
        <v>3</v>
      </c>
      <c r="AO538" s="3">
        <v>6</v>
      </c>
      <c r="AP538" s="3">
        <v>1</v>
      </c>
      <c r="AR538" s="2" t="s">
        <v>1537</v>
      </c>
    </row>
    <row r="539" spans="1:44" ht="12.75" customHeight="1">
      <c r="A539" s="4">
        <f>DATE(90,5,9)</f>
        <v>33002</v>
      </c>
      <c r="B539" s="2" t="s">
        <v>152</v>
      </c>
      <c r="C539" s="2" t="s">
        <v>191</v>
      </c>
      <c r="E539" s="18">
        <v>1</v>
      </c>
      <c r="F539" s="18">
        <v>0</v>
      </c>
      <c r="G539" s="18">
        <v>0</v>
      </c>
      <c r="H539" s="18">
        <v>0</v>
      </c>
      <c r="I539" s="18">
        <v>2</v>
      </c>
      <c r="J539" s="18">
        <v>0</v>
      </c>
      <c r="K539" s="18">
        <v>0</v>
      </c>
      <c r="T539" s="3">
        <v>3</v>
      </c>
      <c r="U539" s="3">
        <v>6</v>
      </c>
      <c r="V539" s="3">
        <v>2</v>
      </c>
      <c r="X539" s="2" t="s">
        <v>1705</v>
      </c>
      <c r="Y539" s="18">
        <v>1</v>
      </c>
      <c r="Z539" s="18">
        <v>0</v>
      </c>
      <c r="AA539" s="18">
        <v>0</v>
      </c>
      <c r="AB539" s="18">
        <v>3</v>
      </c>
      <c r="AC539" s="18">
        <v>2</v>
      </c>
      <c r="AD539" s="18">
        <v>0</v>
      </c>
      <c r="AE539" s="18" t="s">
        <v>162</v>
      </c>
      <c r="AN539" s="3">
        <v>6</v>
      </c>
      <c r="AO539" s="3">
        <v>10</v>
      </c>
      <c r="AP539" s="3">
        <v>0</v>
      </c>
      <c r="AR539" s="2" t="s">
        <v>1706</v>
      </c>
    </row>
    <row r="540" spans="1:44" ht="12.75" customHeight="1">
      <c r="A540" s="4">
        <f>DATE(90,5,30)</f>
        <v>33023</v>
      </c>
      <c r="C540" s="2" t="s">
        <v>191</v>
      </c>
      <c r="D540" s="2" t="s">
        <v>258</v>
      </c>
      <c r="E540" s="18">
        <v>0</v>
      </c>
      <c r="F540" s="18">
        <v>0</v>
      </c>
      <c r="G540" s="18">
        <v>1</v>
      </c>
      <c r="H540" s="18">
        <v>0</v>
      </c>
      <c r="I540" s="18">
        <v>0</v>
      </c>
      <c r="J540" s="18">
        <v>1</v>
      </c>
      <c r="K540" s="18">
        <v>1</v>
      </c>
      <c r="L540" s="18">
        <v>1</v>
      </c>
      <c r="T540" s="3">
        <v>4</v>
      </c>
      <c r="U540" s="3">
        <v>8</v>
      </c>
      <c r="V540" s="3">
        <v>1</v>
      </c>
      <c r="X540" s="2" t="s">
        <v>1691</v>
      </c>
      <c r="Y540" s="18">
        <v>0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3</v>
      </c>
      <c r="AF540" s="18">
        <v>0</v>
      </c>
      <c r="AN540" s="3">
        <v>3</v>
      </c>
      <c r="AO540" s="3">
        <v>5</v>
      </c>
      <c r="AP540" s="3">
        <v>3</v>
      </c>
      <c r="AR540" s="2" t="s">
        <v>1709</v>
      </c>
    </row>
    <row r="541" spans="1:44" ht="12.75" customHeight="1">
      <c r="A541" s="4">
        <f>DATE(91,4,2)</f>
        <v>33330</v>
      </c>
      <c r="C541" s="2" t="s">
        <v>191</v>
      </c>
      <c r="E541" s="18">
        <v>2</v>
      </c>
      <c r="F541" s="18">
        <v>0</v>
      </c>
      <c r="G541" s="18">
        <v>0</v>
      </c>
      <c r="H541" s="18">
        <v>5</v>
      </c>
      <c r="I541" s="18">
        <v>0</v>
      </c>
      <c r="J541" s="18">
        <v>2</v>
      </c>
      <c r="K541" s="18" t="s">
        <v>162</v>
      </c>
      <c r="T541" s="3">
        <v>9</v>
      </c>
      <c r="U541" s="3">
        <v>7</v>
      </c>
      <c r="V541" s="3">
        <v>1</v>
      </c>
      <c r="X541" s="2" t="s">
        <v>1689</v>
      </c>
      <c r="Y541" s="18">
        <v>0</v>
      </c>
      <c r="Z541" s="18">
        <v>0</v>
      </c>
      <c r="AA541" s="18">
        <v>0</v>
      </c>
      <c r="AB541" s="18">
        <v>0</v>
      </c>
      <c r="AC541" s="18">
        <v>3</v>
      </c>
      <c r="AD541" s="18">
        <v>0</v>
      </c>
      <c r="AE541" s="18">
        <v>0</v>
      </c>
      <c r="AN541" s="3">
        <v>3</v>
      </c>
      <c r="AO541" s="3">
        <v>5</v>
      </c>
      <c r="AP541" s="3">
        <v>0</v>
      </c>
      <c r="AR541" s="2" t="s">
        <v>1716</v>
      </c>
    </row>
    <row r="542" spans="1:44" ht="12.75" customHeight="1">
      <c r="A542" s="4">
        <f>DATE(91,5,14)</f>
        <v>33372</v>
      </c>
      <c r="B542" s="2" t="s">
        <v>152</v>
      </c>
      <c r="C542" s="2" t="s">
        <v>191</v>
      </c>
      <c r="E542" s="18">
        <v>1</v>
      </c>
      <c r="F542" s="18">
        <v>0</v>
      </c>
      <c r="G542" s="18">
        <v>3</v>
      </c>
      <c r="H542" s="18">
        <v>0</v>
      </c>
      <c r="I542" s="18">
        <v>0</v>
      </c>
      <c r="J542" s="18">
        <v>1</v>
      </c>
      <c r="K542" s="18">
        <v>0</v>
      </c>
      <c r="L542" s="18">
        <v>0</v>
      </c>
      <c r="T542" s="3">
        <v>5</v>
      </c>
      <c r="U542" s="3">
        <v>7</v>
      </c>
      <c r="V542" s="3">
        <v>3</v>
      </c>
      <c r="X542" s="2" t="s">
        <v>1741</v>
      </c>
      <c r="Y542" s="18">
        <v>1</v>
      </c>
      <c r="Z542" s="18">
        <v>2</v>
      </c>
      <c r="AA542" s="18">
        <v>0</v>
      </c>
      <c r="AB542" s="18">
        <v>0</v>
      </c>
      <c r="AC542" s="18">
        <v>0</v>
      </c>
      <c r="AD542" s="18">
        <v>2</v>
      </c>
      <c r="AE542" s="18">
        <v>0</v>
      </c>
      <c r="AF542" s="18">
        <v>1</v>
      </c>
      <c r="AN542" s="3">
        <v>6</v>
      </c>
      <c r="AO542" s="3">
        <v>6</v>
      </c>
      <c r="AP542" s="3">
        <v>1</v>
      </c>
      <c r="AR542" s="2" t="s">
        <v>1753</v>
      </c>
    </row>
    <row r="543" spans="1:44" ht="12.75" customHeight="1">
      <c r="A543" s="4">
        <f>DATE(91,5,21)</f>
        <v>33379</v>
      </c>
      <c r="B543" s="2" t="s">
        <v>239</v>
      </c>
      <c r="C543" s="2" t="s">
        <v>191</v>
      </c>
      <c r="D543" s="2" t="s">
        <v>258</v>
      </c>
      <c r="E543" s="18">
        <v>0</v>
      </c>
      <c r="F543" s="18">
        <v>0</v>
      </c>
      <c r="G543" s="18">
        <v>1</v>
      </c>
      <c r="H543" s="18">
        <v>3</v>
      </c>
      <c r="I543" s="18">
        <v>0</v>
      </c>
      <c r="J543" s="18">
        <v>0</v>
      </c>
      <c r="K543" s="18" t="s">
        <v>162</v>
      </c>
      <c r="T543" s="3">
        <v>4</v>
      </c>
      <c r="U543" s="3">
        <v>5</v>
      </c>
      <c r="V543" s="3">
        <v>0</v>
      </c>
      <c r="X543" s="2" t="s">
        <v>1722</v>
      </c>
      <c r="Y543" s="18">
        <v>0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2</v>
      </c>
      <c r="AN543" s="3">
        <v>2</v>
      </c>
      <c r="AO543" s="3">
        <v>6</v>
      </c>
      <c r="AP543" s="3">
        <v>2</v>
      </c>
      <c r="AR543" s="2" t="s">
        <v>1765</v>
      </c>
    </row>
    <row r="544" spans="1:44" ht="12.75" customHeight="1">
      <c r="A544" s="4">
        <f>DATE(92,4,6)</f>
        <v>33700</v>
      </c>
      <c r="C544" s="2" t="s">
        <v>191</v>
      </c>
      <c r="E544" s="18">
        <v>0</v>
      </c>
      <c r="F544" s="18">
        <v>0</v>
      </c>
      <c r="G544" s="18">
        <v>1</v>
      </c>
      <c r="H544" s="18">
        <v>0</v>
      </c>
      <c r="I544" s="18">
        <v>0</v>
      </c>
      <c r="J544" s="18">
        <v>0</v>
      </c>
      <c r="K544" s="18">
        <v>1</v>
      </c>
      <c r="T544" s="3">
        <v>2</v>
      </c>
      <c r="U544" s="3">
        <v>5</v>
      </c>
      <c r="V544" s="3">
        <v>6</v>
      </c>
      <c r="X544" s="2" t="s">
        <v>1773</v>
      </c>
      <c r="Y544" s="18">
        <v>0</v>
      </c>
      <c r="Z544" s="18">
        <v>0</v>
      </c>
      <c r="AA544" s="18">
        <v>6</v>
      </c>
      <c r="AB544" s="18">
        <v>2</v>
      </c>
      <c r="AC544" s="18">
        <v>0</v>
      </c>
      <c r="AD544" s="18">
        <v>1</v>
      </c>
      <c r="AE544" s="18">
        <v>0</v>
      </c>
      <c r="AN544" s="3">
        <f aca="true" t="shared" si="20" ref="AN544:AN584">SUM(Y544:AM544)</f>
        <v>9</v>
      </c>
      <c r="AO544" s="3">
        <v>9</v>
      </c>
      <c r="AP544" s="3">
        <v>1</v>
      </c>
      <c r="AR544" s="2" t="s">
        <v>1774</v>
      </c>
    </row>
    <row r="545" spans="1:44" ht="12.75" customHeight="1">
      <c r="A545" s="4">
        <f>DATE(92,4,22)</f>
        <v>33716</v>
      </c>
      <c r="B545" s="2" t="s">
        <v>152</v>
      </c>
      <c r="C545" s="2" t="s">
        <v>191</v>
      </c>
      <c r="E545" s="18">
        <v>0</v>
      </c>
      <c r="F545" s="18">
        <v>2</v>
      </c>
      <c r="G545" s="18">
        <v>1</v>
      </c>
      <c r="H545" s="18">
        <v>0</v>
      </c>
      <c r="I545" s="18">
        <v>2</v>
      </c>
      <c r="J545" s="18">
        <v>0</v>
      </c>
      <c r="K545" s="18">
        <v>0</v>
      </c>
      <c r="L545" s="18">
        <v>1</v>
      </c>
      <c r="T545" s="3">
        <v>6</v>
      </c>
      <c r="U545" s="3">
        <v>11</v>
      </c>
      <c r="V545" s="3">
        <v>1</v>
      </c>
      <c r="X545" s="2" t="s">
        <v>1790</v>
      </c>
      <c r="Y545" s="18">
        <v>0</v>
      </c>
      <c r="Z545" s="18">
        <v>1</v>
      </c>
      <c r="AA545" s="18">
        <v>0</v>
      </c>
      <c r="AB545" s="18">
        <v>2</v>
      </c>
      <c r="AC545" s="18">
        <v>0</v>
      </c>
      <c r="AD545" s="18">
        <v>2</v>
      </c>
      <c r="AE545" s="18">
        <v>0</v>
      </c>
      <c r="AF545" s="18">
        <v>2</v>
      </c>
      <c r="AN545" s="3">
        <f t="shared" si="20"/>
        <v>7</v>
      </c>
      <c r="AO545" s="3">
        <v>10</v>
      </c>
      <c r="AP545" s="3">
        <v>2</v>
      </c>
      <c r="AR545" s="2" t="s">
        <v>1791</v>
      </c>
    </row>
    <row r="546" spans="1:44" ht="12.75" customHeight="1">
      <c r="A546" s="4">
        <f>DATE(92,5,26)</f>
        <v>33750</v>
      </c>
      <c r="B546" s="2" t="s">
        <v>239</v>
      </c>
      <c r="C546" s="2" t="s">
        <v>191</v>
      </c>
      <c r="D546" s="2" t="s">
        <v>258</v>
      </c>
      <c r="E546" s="18">
        <v>0</v>
      </c>
      <c r="F546" s="18">
        <v>0</v>
      </c>
      <c r="G546" s="18">
        <v>2</v>
      </c>
      <c r="H546" s="18">
        <v>3</v>
      </c>
      <c r="I546" s="18">
        <v>0</v>
      </c>
      <c r="T546" s="3">
        <v>5</v>
      </c>
      <c r="U546" s="3">
        <v>5</v>
      </c>
      <c r="V546" s="3">
        <v>4</v>
      </c>
      <c r="X546" s="2" t="s">
        <v>1811</v>
      </c>
      <c r="Y546" s="18">
        <v>2</v>
      </c>
      <c r="Z546" s="18">
        <v>9</v>
      </c>
      <c r="AA546" s="18">
        <v>2</v>
      </c>
      <c r="AB546" s="18">
        <v>2</v>
      </c>
      <c r="AC546" s="18" t="s">
        <v>162</v>
      </c>
      <c r="AN546" s="3">
        <f t="shared" si="20"/>
        <v>15</v>
      </c>
      <c r="AO546" s="3">
        <v>11</v>
      </c>
      <c r="AP546" s="3">
        <v>2</v>
      </c>
      <c r="AR546" s="2" t="s">
        <v>1812</v>
      </c>
    </row>
    <row r="547" spans="1:44" ht="12.75" customHeight="1">
      <c r="A547" s="4">
        <f>DATE(93,4,27)</f>
        <v>34086</v>
      </c>
      <c r="C547" s="2" t="s">
        <v>191</v>
      </c>
      <c r="E547" s="18">
        <v>0</v>
      </c>
      <c r="F547" s="18">
        <v>0</v>
      </c>
      <c r="G547" s="18">
        <v>1</v>
      </c>
      <c r="H547" s="18">
        <v>0</v>
      </c>
      <c r="I547" s="18">
        <v>0</v>
      </c>
      <c r="J547" s="18">
        <v>0</v>
      </c>
      <c r="K547" s="18">
        <v>2</v>
      </c>
      <c r="T547" s="3">
        <f aca="true" t="shared" si="21" ref="T547:T584">SUM(E547:S547)</f>
        <v>3</v>
      </c>
      <c r="U547" s="3">
        <v>6</v>
      </c>
      <c r="V547" s="3">
        <v>3</v>
      </c>
      <c r="X547" s="2" t="s">
        <v>1826</v>
      </c>
      <c r="Y547" s="18">
        <v>2</v>
      </c>
      <c r="Z547" s="18">
        <v>1</v>
      </c>
      <c r="AA547" s="18">
        <v>0</v>
      </c>
      <c r="AB547" s="18">
        <v>0</v>
      </c>
      <c r="AC547" s="18">
        <v>4</v>
      </c>
      <c r="AD547" s="18">
        <v>1</v>
      </c>
      <c r="AE547" s="18">
        <v>0</v>
      </c>
      <c r="AN547" s="3">
        <f t="shared" si="20"/>
        <v>8</v>
      </c>
      <c r="AO547" s="3">
        <v>8</v>
      </c>
      <c r="AP547" s="3">
        <v>0</v>
      </c>
      <c r="AR547" s="2" t="s">
        <v>1827</v>
      </c>
    </row>
    <row r="548" spans="1:44" ht="12.75" customHeight="1">
      <c r="A548" s="4">
        <f>DATE(93,4,30)</f>
        <v>34089</v>
      </c>
      <c r="B548" s="2" t="s">
        <v>152</v>
      </c>
      <c r="C548" s="2" t="s">
        <v>191</v>
      </c>
      <c r="E548" s="18">
        <v>1</v>
      </c>
      <c r="F548" s="18">
        <v>0</v>
      </c>
      <c r="G548" s="18">
        <v>1</v>
      </c>
      <c r="H548" s="18">
        <v>0</v>
      </c>
      <c r="I548" s="18">
        <v>1</v>
      </c>
      <c r="J548" s="18">
        <v>2</v>
      </c>
      <c r="K548" s="18">
        <v>1</v>
      </c>
      <c r="T548" s="3">
        <f t="shared" si="21"/>
        <v>6</v>
      </c>
      <c r="U548" s="3">
        <v>8</v>
      </c>
      <c r="V548" s="3">
        <v>1</v>
      </c>
      <c r="X548" s="2" t="s">
        <v>1824</v>
      </c>
      <c r="Y548" s="18">
        <v>0</v>
      </c>
      <c r="Z548" s="18">
        <v>0</v>
      </c>
      <c r="AA548" s="18">
        <v>0</v>
      </c>
      <c r="AB548" s="18">
        <v>0</v>
      </c>
      <c r="AC548" s="18">
        <v>0</v>
      </c>
      <c r="AD548" s="18">
        <v>1</v>
      </c>
      <c r="AE548" s="18">
        <v>0</v>
      </c>
      <c r="AN548" s="3">
        <f t="shared" si="20"/>
        <v>1</v>
      </c>
      <c r="AO548" s="3">
        <v>6</v>
      </c>
      <c r="AP548" s="3">
        <v>1</v>
      </c>
      <c r="AR548" s="2" t="s">
        <v>1830</v>
      </c>
    </row>
    <row r="549" spans="1:44" ht="12.75" customHeight="1">
      <c r="A549" s="4">
        <f>DATE(94,4,19)</f>
        <v>34443</v>
      </c>
      <c r="C549" s="2" t="s">
        <v>191</v>
      </c>
      <c r="E549" s="18">
        <v>0</v>
      </c>
      <c r="F549" s="18">
        <v>0</v>
      </c>
      <c r="G549" s="18">
        <v>0</v>
      </c>
      <c r="H549" s="18">
        <v>1</v>
      </c>
      <c r="I549" s="18">
        <v>0</v>
      </c>
      <c r="J549" s="18">
        <v>0</v>
      </c>
      <c r="K549" s="18">
        <v>0</v>
      </c>
      <c r="T549" s="3">
        <f t="shared" si="21"/>
        <v>1</v>
      </c>
      <c r="U549" s="3">
        <v>2</v>
      </c>
      <c r="V549" s="3">
        <v>0</v>
      </c>
      <c r="X549" s="2" t="s">
        <v>1824</v>
      </c>
      <c r="Y549" s="18">
        <v>0</v>
      </c>
      <c r="Z549" s="18">
        <v>0</v>
      </c>
      <c r="AA549" s="18">
        <v>1</v>
      </c>
      <c r="AB549" s="18">
        <v>0</v>
      </c>
      <c r="AC549" s="18">
        <v>1</v>
      </c>
      <c r="AD549" s="18">
        <v>0</v>
      </c>
      <c r="AE549" s="18">
        <v>0</v>
      </c>
      <c r="AN549" s="3">
        <f t="shared" si="20"/>
        <v>2</v>
      </c>
      <c r="AO549" s="3">
        <v>7</v>
      </c>
      <c r="AP549" s="3">
        <v>0</v>
      </c>
      <c r="AR549" s="2" t="s">
        <v>1855</v>
      </c>
    </row>
    <row r="550" spans="1:44" ht="12.75" customHeight="1">
      <c r="A550" s="4">
        <f>DATE(94,5,5)</f>
        <v>34459</v>
      </c>
      <c r="B550" s="2" t="s">
        <v>152</v>
      </c>
      <c r="C550" s="2" t="s">
        <v>191</v>
      </c>
      <c r="E550" s="18">
        <v>0</v>
      </c>
      <c r="F550" s="18">
        <v>0</v>
      </c>
      <c r="G550" s="18">
        <v>2</v>
      </c>
      <c r="H550" s="18">
        <v>1</v>
      </c>
      <c r="I550" s="18">
        <v>1</v>
      </c>
      <c r="J550" s="18">
        <v>0</v>
      </c>
      <c r="K550" s="18">
        <v>6</v>
      </c>
      <c r="T550" s="3">
        <f t="shared" si="21"/>
        <v>10</v>
      </c>
      <c r="U550" s="3">
        <v>11</v>
      </c>
      <c r="V550" s="3">
        <v>4</v>
      </c>
      <c r="X550" s="2" t="s">
        <v>1801</v>
      </c>
      <c r="Y550" s="18">
        <v>1</v>
      </c>
      <c r="Z550" s="18">
        <v>0</v>
      </c>
      <c r="AA550" s="18">
        <v>1</v>
      </c>
      <c r="AB550" s="18">
        <v>0</v>
      </c>
      <c r="AC550" s="18">
        <v>0</v>
      </c>
      <c r="AD550" s="18">
        <v>0</v>
      </c>
      <c r="AE550" s="18">
        <v>4</v>
      </c>
      <c r="AN550" s="3">
        <f t="shared" si="20"/>
        <v>6</v>
      </c>
      <c r="AO550" s="3">
        <v>6</v>
      </c>
      <c r="AP550" s="3">
        <v>5</v>
      </c>
      <c r="AR550" s="2" t="s">
        <v>1869</v>
      </c>
    </row>
    <row r="551" spans="1:44" ht="12.75" customHeight="1">
      <c r="A551" s="4">
        <f>DATE(94,6,1)</f>
        <v>34486</v>
      </c>
      <c r="B551" s="2" t="s">
        <v>239</v>
      </c>
      <c r="C551" s="2" t="s">
        <v>191</v>
      </c>
      <c r="D551" s="2" t="s">
        <v>258</v>
      </c>
      <c r="E551" s="18">
        <v>2</v>
      </c>
      <c r="F551" s="18">
        <v>1</v>
      </c>
      <c r="G551" s="18">
        <v>2</v>
      </c>
      <c r="H551" s="18">
        <v>0</v>
      </c>
      <c r="I551" s="18">
        <v>0</v>
      </c>
      <c r="J551" s="18">
        <v>0</v>
      </c>
      <c r="K551" s="18">
        <v>1</v>
      </c>
      <c r="T551" s="3">
        <f t="shared" si="21"/>
        <v>6</v>
      </c>
      <c r="U551" s="3">
        <v>9</v>
      </c>
      <c r="V551" s="3">
        <v>4</v>
      </c>
      <c r="X551" s="2" t="s">
        <v>1877</v>
      </c>
      <c r="Y551" s="18">
        <v>0</v>
      </c>
      <c r="Z551" s="18">
        <v>0</v>
      </c>
      <c r="AA551" s="18">
        <v>0</v>
      </c>
      <c r="AB551" s="18">
        <v>4</v>
      </c>
      <c r="AC551" s="18">
        <v>3</v>
      </c>
      <c r="AD551" s="18">
        <v>4</v>
      </c>
      <c r="AE551" s="18" t="s">
        <v>162</v>
      </c>
      <c r="AN551" s="3">
        <f t="shared" si="20"/>
        <v>11</v>
      </c>
      <c r="AO551" s="3">
        <v>11</v>
      </c>
      <c r="AP551" s="3">
        <v>1</v>
      </c>
      <c r="AR551" s="2" t="s">
        <v>1879</v>
      </c>
    </row>
    <row r="552" spans="1:44" ht="12.75" customHeight="1">
      <c r="A552" s="4">
        <f>DATE(95,3,30)</f>
        <v>34788</v>
      </c>
      <c r="C552" s="2" t="s">
        <v>191</v>
      </c>
      <c r="E552" s="18">
        <v>0</v>
      </c>
      <c r="F552" s="18">
        <v>0</v>
      </c>
      <c r="G552" s="18">
        <v>0</v>
      </c>
      <c r="H552" s="18">
        <v>2</v>
      </c>
      <c r="I552" s="18">
        <v>3</v>
      </c>
      <c r="J552" s="18">
        <v>0</v>
      </c>
      <c r="K552" s="18" t="s">
        <v>162</v>
      </c>
      <c r="T552" s="3">
        <f t="shared" si="21"/>
        <v>5</v>
      </c>
      <c r="U552" s="3">
        <v>8</v>
      </c>
      <c r="V552" s="3">
        <v>3</v>
      </c>
      <c r="X552" s="2" t="s">
        <v>1824</v>
      </c>
      <c r="Y552" s="18">
        <v>0</v>
      </c>
      <c r="Z552" s="18">
        <v>0</v>
      </c>
      <c r="AA552" s="18">
        <v>0</v>
      </c>
      <c r="AB552" s="18">
        <v>1</v>
      </c>
      <c r="AC552" s="18">
        <v>0</v>
      </c>
      <c r="AD552" s="18">
        <v>1</v>
      </c>
      <c r="AE552" s="18">
        <v>0</v>
      </c>
      <c r="AN552" s="3">
        <f t="shared" si="20"/>
        <v>2</v>
      </c>
      <c r="AO552" s="3">
        <v>5</v>
      </c>
      <c r="AP552" s="3">
        <v>1</v>
      </c>
      <c r="AR552" s="2" t="s">
        <v>1880</v>
      </c>
    </row>
    <row r="553" spans="1:44" ht="12.75" customHeight="1">
      <c r="A553" s="4">
        <f>DATE(95,5,11)</f>
        <v>34830</v>
      </c>
      <c r="B553" s="2" t="s">
        <v>152</v>
      </c>
      <c r="C553" s="2" t="s">
        <v>191</v>
      </c>
      <c r="E553" s="18">
        <v>1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2</v>
      </c>
      <c r="T553" s="3">
        <f t="shared" si="21"/>
        <v>3</v>
      </c>
      <c r="U553" s="3">
        <v>6</v>
      </c>
      <c r="V553" s="3">
        <v>3</v>
      </c>
      <c r="X553" s="2" t="s">
        <v>1901</v>
      </c>
      <c r="Y553" s="18">
        <v>2</v>
      </c>
      <c r="Z553" s="18">
        <v>2</v>
      </c>
      <c r="AA553" s="18">
        <v>0</v>
      </c>
      <c r="AB553" s="18">
        <v>0</v>
      </c>
      <c r="AC553" s="18">
        <v>1</v>
      </c>
      <c r="AD553" s="18">
        <v>0</v>
      </c>
      <c r="AE553" s="18" t="s">
        <v>162</v>
      </c>
      <c r="AN553" s="3">
        <f t="shared" si="20"/>
        <v>5</v>
      </c>
      <c r="AO553" s="3">
        <v>7</v>
      </c>
      <c r="AP553" s="3">
        <v>3</v>
      </c>
      <c r="AR553" s="2" t="s">
        <v>1902</v>
      </c>
    </row>
    <row r="554" spans="1:44" ht="12.75" customHeight="1">
      <c r="A554" s="4">
        <f>DATE(95,5,26)</f>
        <v>34845</v>
      </c>
      <c r="B554" s="2" t="s">
        <v>239</v>
      </c>
      <c r="C554" s="2" t="s">
        <v>191</v>
      </c>
      <c r="D554" s="2" t="s">
        <v>258</v>
      </c>
      <c r="E554" s="18">
        <v>0</v>
      </c>
      <c r="F554" s="18">
        <v>0</v>
      </c>
      <c r="G554" s="18">
        <v>0</v>
      </c>
      <c r="H554" s="18">
        <v>1</v>
      </c>
      <c r="I554" s="18">
        <v>1</v>
      </c>
      <c r="J554" s="18">
        <v>0</v>
      </c>
      <c r="K554" s="18">
        <v>0</v>
      </c>
      <c r="T554" s="3">
        <f t="shared" si="21"/>
        <v>2</v>
      </c>
      <c r="U554" s="3">
        <v>6</v>
      </c>
      <c r="V554" s="3">
        <v>1</v>
      </c>
      <c r="X554" s="2" t="s">
        <v>1824</v>
      </c>
      <c r="Y554" s="18">
        <v>0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  <c r="AE554" s="18">
        <v>3</v>
      </c>
      <c r="AN554" s="3">
        <f t="shared" si="20"/>
        <v>3</v>
      </c>
      <c r="AO554" s="3">
        <v>6</v>
      </c>
      <c r="AP554" s="3">
        <v>0</v>
      </c>
      <c r="AR554" s="2" t="s">
        <v>1905</v>
      </c>
    </row>
    <row r="555" spans="1:44" ht="12.75" customHeight="1">
      <c r="A555" s="4">
        <v>35157</v>
      </c>
      <c r="B555" s="2" t="s">
        <v>152</v>
      </c>
      <c r="C555" s="2" t="s">
        <v>191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T555" s="3">
        <f t="shared" si="21"/>
        <v>0</v>
      </c>
      <c r="U555" s="3">
        <v>1</v>
      </c>
      <c r="V555" s="3">
        <v>2</v>
      </c>
      <c r="X555" s="2" t="s">
        <v>1261</v>
      </c>
      <c r="Y555" s="18">
        <v>0</v>
      </c>
      <c r="Z555" s="18">
        <v>3</v>
      </c>
      <c r="AA555" s="18">
        <v>6</v>
      </c>
      <c r="AB555" s="18">
        <v>1</v>
      </c>
      <c r="AC555" s="18" t="s">
        <v>162</v>
      </c>
      <c r="AN555" s="3">
        <f t="shared" si="20"/>
        <v>10</v>
      </c>
      <c r="AO555" s="3">
        <v>8</v>
      </c>
      <c r="AP555" s="3">
        <v>3</v>
      </c>
      <c r="AR555" s="2" t="s">
        <v>1260</v>
      </c>
    </row>
    <row r="556" spans="1:44" ht="12.75" customHeight="1">
      <c r="A556" s="4">
        <v>35169</v>
      </c>
      <c r="C556" s="2" t="s">
        <v>191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T556" s="3">
        <f t="shared" si="21"/>
        <v>0</v>
      </c>
      <c r="U556" s="3">
        <v>4</v>
      </c>
      <c r="V556" s="3">
        <v>0</v>
      </c>
      <c r="X556" s="2" t="s">
        <v>432</v>
      </c>
      <c r="Y556" s="18">
        <v>0</v>
      </c>
      <c r="Z556" s="18">
        <v>0</v>
      </c>
      <c r="AA556" s="18">
        <v>0</v>
      </c>
      <c r="AB556" s="18">
        <v>1</v>
      </c>
      <c r="AC556" s="18">
        <v>0</v>
      </c>
      <c r="AD556" s="18">
        <v>0</v>
      </c>
      <c r="AE556" s="18">
        <v>2</v>
      </c>
      <c r="AN556" s="3">
        <f t="shared" si="20"/>
        <v>3</v>
      </c>
      <c r="AO556" s="3">
        <v>5</v>
      </c>
      <c r="AP556" s="3">
        <v>1</v>
      </c>
      <c r="AR556" s="2" t="s">
        <v>1288</v>
      </c>
    </row>
    <row r="557" spans="1:44" ht="12.75" customHeight="1">
      <c r="A557" s="9">
        <f>DATE(1997,4,7)</f>
        <v>35527</v>
      </c>
      <c r="C557" s="2" t="s">
        <v>191</v>
      </c>
      <c r="E557" s="18">
        <v>0</v>
      </c>
      <c r="F557" s="18">
        <v>1</v>
      </c>
      <c r="G557" s="18">
        <v>0</v>
      </c>
      <c r="H557" s="18">
        <v>1</v>
      </c>
      <c r="I557" s="18">
        <v>0</v>
      </c>
      <c r="J557" s="18">
        <v>0</v>
      </c>
      <c r="K557" s="18">
        <v>2</v>
      </c>
      <c r="T557" s="3">
        <f t="shared" si="21"/>
        <v>4</v>
      </c>
      <c r="U557" s="3">
        <v>8</v>
      </c>
      <c r="V557" s="3">
        <v>3</v>
      </c>
      <c r="X557" s="2" t="s">
        <v>432</v>
      </c>
      <c r="Y557" s="18">
        <v>1</v>
      </c>
      <c r="Z557" s="18">
        <v>0</v>
      </c>
      <c r="AA557" s="18">
        <v>0</v>
      </c>
      <c r="AB557" s="18">
        <v>0</v>
      </c>
      <c r="AC557" s="18">
        <v>1</v>
      </c>
      <c r="AD557" s="18">
        <v>3</v>
      </c>
      <c r="AE557" s="18">
        <v>1</v>
      </c>
      <c r="AN557" s="3">
        <f t="shared" si="20"/>
        <v>6</v>
      </c>
      <c r="AO557" s="3">
        <v>9</v>
      </c>
      <c r="AP557" s="3">
        <v>4</v>
      </c>
      <c r="AR557" s="2" t="s">
        <v>1902</v>
      </c>
    </row>
    <row r="558" spans="1:44" ht="12.75" customHeight="1">
      <c r="A558" s="9">
        <f>DATE(1997,4,24)</f>
        <v>35544</v>
      </c>
      <c r="B558" s="2" t="s">
        <v>152</v>
      </c>
      <c r="C558" s="2" t="s">
        <v>191</v>
      </c>
      <c r="E558" s="18">
        <v>0</v>
      </c>
      <c r="F558" s="18">
        <v>0</v>
      </c>
      <c r="G558" s="18">
        <v>2</v>
      </c>
      <c r="H558" s="18">
        <v>0</v>
      </c>
      <c r="I558" s="18">
        <v>0</v>
      </c>
      <c r="J558" s="18">
        <v>0</v>
      </c>
      <c r="K558" s="18">
        <v>0</v>
      </c>
      <c r="T558" s="3">
        <f t="shared" si="21"/>
        <v>2</v>
      </c>
      <c r="U558" s="3">
        <v>2</v>
      </c>
      <c r="V558" s="3">
        <v>1</v>
      </c>
      <c r="X558" s="2" t="s">
        <v>431</v>
      </c>
      <c r="Y558" s="18">
        <v>1</v>
      </c>
      <c r="Z558" s="18">
        <v>2</v>
      </c>
      <c r="AA558" s="18">
        <v>0</v>
      </c>
      <c r="AB558" s="18">
        <v>6</v>
      </c>
      <c r="AC558" s="18">
        <v>0</v>
      </c>
      <c r="AD558" s="18">
        <v>1</v>
      </c>
      <c r="AE558" s="18" t="s">
        <v>162</v>
      </c>
      <c r="AN558" s="3">
        <f t="shared" si="20"/>
        <v>10</v>
      </c>
      <c r="AO558" s="3">
        <v>11</v>
      </c>
      <c r="AP558" s="3">
        <v>1</v>
      </c>
      <c r="AR558" s="2" t="s">
        <v>444</v>
      </c>
    </row>
    <row r="559" spans="1:44" ht="12.75" customHeight="1">
      <c r="A559" s="4">
        <v>35906</v>
      </c>
      <c r="C559" s="2" t="s">
        <v>191</v>
      </c>
      <c r="E559" s="18">
        <v>0</v>
      </c>
      <c r="F559" s="18">
        <v>0</v>
      </c>
      <c r="G559" s="18">
        <v>1</v>
      </c>
      <c r="H559" s="18">
        <v>1</v>
      </c>
      <c r="I559" s="18">
        <v>0</v>
      </c>
      <c r="J559" s="18">
        <v>0</v>
      </c>
      <c r="K559" s="18">
        <v>0</v>
      </c>
      <c r="T559" s="3">
        <f t="shared" si="21"/>
        <v>2</v>
      </c>
      <c r="U559" s="3">
        <v>10</v>
      </c>
      <c r="V559" s="3">
        <v>4</v>
      </c>
      <c r="X559" s="2" t="s">
        <v>502</v>
      </c>
      <c r="Y559" s="18">
        <v>2</v>
      </c>
      <c r="Z559" s="18">
        <v>0</v>
      </c>
      <c r="AA559" s="18">
        <v>0</v>
      </c>
      <c r="AB559" s="18">
        <v>0</v>
      </c>
      <c r="AC559" s="18">
        <v>1</v>
      </c>
      <c r="AD559" s="18">
        <v>0</v>
      </c>
      <c r="AE559" s="18">
        <v>1</v>
      </c>
      <c r="AN559" s="3">
        <f t="shared" si="20"/>
        <v>4</v>
      </c>
      <c r="AO559" s="3">
        <v>9</v>
      </c>
      <c r="AP559" s="3">
        <v>2</v>
      </c>
      <c r="AR559" s="2" t="s">
        <v>2003</v>
      </c>
    </row>
    <row r="560" spans="1:44" ht="12.75" customHeight="1">
      <c r="A560" s="4">
        <v>35915</v>
      </c>
      <c r="B560" s="2" t="s">
        <v>152</v>
      </c>
      <c r="C560" s="2" t="s">
        <v>191</v>
      </c>
      <c r="E560" s="18">
        <v>1</v>
      </c>
      <c r="F560" s="18">
        <v>0</v>
      </c>
      <c r="G560" s="18">
        <v>0</v>
      </c>
      <c r="H560" s="18">
        <v>0</v>
      </c>
      <c r="I560" s="18">
        <v>1</v>
      </c>
      <c r="J560" s="18">
        <v>0</v>
      </c>
      <c r="K560" s="18">
        <v>2</v>
      </c>
      <c r="L560" s="18">
        <v>0</v>
      </c>
      <c r="M560" s="18">
        <v>0</v>
      </c>
      <c r="N560" s="18">
        <v>0</v>
      </c>
      <c r="T560" s="3">
        <f t="shared" si="21"/>
        <v>4</v>
      </c>
      <c r="U560" s="3">
        <v>11</v>
      </c>
      <c r="V560" s="3">
        <v>2</v>
      </c>
      <c r="X560" s="2" t="s">
        <v>563</v>
      </c>
      <c r="Y560" s="18">
        <v>0</v>
      </c>
      <c r="Z560" s="18">
        <v>0</v>
      </c>
      <c r="AA560" s="18">
        <v>0</v>
      </c>
      <c r="AB560" s="18">
        <v>1</v>
      </c>
      <c r="AC560" s="18">
        <v>0</v>
      </c>
      <c r="AD560" s="18">
        <v>1</v>
      </c>
      <c r="AE560" s="18">
        <v>2</v>
      </c>
      <c r="AF560" s="18">
        <v>0</v>
      </c>
      <c r="AG560" s="18">
        <v>0</v>
      </c>
      <c r="AH560" s="18">
        <v>1</v>
      </c>
      <c r="AN560" s="3">
        <f t="shared" si="20"/>
        <v>5</v>
      </c>
      <c r="AO560" s="3">
        <v>10</v>
      </c>
      <c r="AP560" s="3">
        <v>4</v>
      </c>
      <c r="AR560" s="2" t="s">
        <v>2007</v>
      </c>
    </row>
    <row r="561" spans="1:44" ht="12.75" customHeight="1">
      <c r="A561" s="5">
        <v>36251</v>
      </c>
      <c r="B561" s="2" t="s">
        <v>152</v>
      </c>
      <c r="C561" s="2" t="s">
        <v>191</v>
      </c>
      <c r="E561" s="18">
        <v>0</v>
      </c>
      <c r="F561" s="18">
        <v>0</v>
      </c>
      <c r="G561" s="18">
        <v>2</v>
      </c>
      <c r="H561" s="18">
        <v>3</v>
      </c>
      <c r="I561" s="18">
        <v>6</v>
      </c>
      <c r="T561" s="3">
        <f t="shared" si="21"/>
        <v>11</v>
      </c>
      <c r="U561" s="3">
        <v>9</v>
      </c>
      <c r="V561" s="3">
        <v>3</v>
      </c>
      <c r="X561" s="2" t="s">
        <v>506</v>
      </c>
      <c r="Y561" s="18">
        <v>0</v>
      </c>
      <c r="Z561" s="18">
        <v>3</v>
      </c>
      <c r="AA561" s="18">
        <v>2</v>
      </c>
      <c r="AB561" s="18">
        <v>0</v>
      </c>
      <c r="AC561" s="18">
        <v>2</v>
      </c>
      <c r="AN561" s="3">
        <f t="shared" si="20"/>
        <v>7</v>
      </c>
      <c r="AO561" s="3">
        <v>7</v>
      </c>
      <c r="AP561" s="3">
        <v>2</v>
      </c>
      <c r="AR561" s="2" t="s">
        <v>606</v>
      </c>
    </row>
    <row r="562" spans="1:44" ht="12.75" customHeight="1">
      <c r="A562" s="5">
        <v>36306</v>
      </c>
      <c r="C562" s="2" t="s">
        <v>191</v>
      </c>
      <c r="D562" s="2" t="s">
        <v>258</v>
      </c>
      <c r="E562" s="18">
        <v>0</v>
      </c>
      <c r="F562" s="18">
        <v>2</v>
      </c>
      <c r="G562" s="18">
        <v>0</v>
      </c>
      <c r="H562" s="18">
        <v>0</v>
      </c>
      <c r="I562" s="18">
        <v>0</v>
      </c>
      <c r="J562" s="18">
        <v>0</v>
      </c>
      <c r="K562" s="18" t="s">
        <v>162</v>
      </c>
      <c r="T562" s="3">
        <f t="shared" si="21"/>
        <v>2</v>
      </c>
      <c r="U562" s="3">
        <v>6</v>
      </c>
      <c r="V562" s="3">
        <v>3</v>
      </c>
      <c r="X562" s="2" t="s">
        <v>621</v>
      </c>
      <c r="Y562" s="18"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1</v>
      </c>
      <c r="AE562" s="18">
        <v>0</v>
      </c>
      <c r="AN562" s="3">
        <f t="shared" si="20"/>
        <v>1</v>
      </c>
      <c r="AO562" s="3">
        <v>7</v>
      </c>
      <c r="AP562" s="3">
        <v>0</v>
      </c>
      <c r="AR562" s="2" t="s">
        <v>2395</v>
      </c>
    </row>
    <row r="563" spans="1:44" ht="12.75" customHeight="1">
      <c r="A563" s="4">
        <v>36615</v>
      </c>
      <c r="C563" s="2" t="s">
        <v>191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4</v>
      </c>
      <c r="T563" s="3">
        <f t="shared" si="21"/>
        <v>4</v>
      </c>
      <c r="U563" s="3">
        <v>6</v>
      </c>
      <c r="V563" s="3">
        <v>7</v>
      </c>
      <c r="X563" s="2" t="s">
        <v>1913</v>
      </c>
      <c r="Y563" s="18">
        <v>1</v>
      </c>
      <c r="Z563" s="18">
        <v>1</v>
      </c>
      <c r="AA563" s="18">
        <v>1</v>
      </c>
      <c r="AB563" s="18">
        <v>0</v>
      </c>
      <c r="AC563" s="18">
        <v>0</v>
      </c>
      <c r="AD563" s="18">
        <v>1</v>
      </c>
      <c r="AE563" s="18">
        <v>3</v>
      </c>
      <c r="AN563" s="3">
        <f t="shared" si="20"/>
        <v>7</v>
      </c>
      <c r="AO563" s="3">
        <v>9</v>
      </c>
      <c r="AP563" s="3">
        <v>1</v>
      </c>
      <c r="AR563" s="2" t="s">
        <v>1914</v>
      </c>
    </row>
    <row r="564" spans="1:44" ht="12.75" customHeight="1">
      <c r="A564" s="5">
        <v>37021</v>
      </c>
      <c r="B564" s="2" t="s">
        <v>152</v>
      </c>
      <c r="C564" s="2" t="s">
        <v>191</v>
      </c>
      <c r="E564" s="18">
        <v>0</v>
      </c>
      <c r="F564" s="18">
        <v>0</v>
      </c>
      <c r="G564" s="18">
        <v>0</v>
      </c>
      <c r="H564" s="18">
        <v>0</v>
      </c>
      <c r="I564" s="18">
        <v>1</v>
      </c>
      <c r="J564" s="18">
        <v>1</v>
      </c>
      <c r="K564" s="18">
        <v>0</v>
      </c>
      <c r="T564" s="3">
        <f t="shared" si="21"/>
        <v>2</v>
      </c>
      <c r="U564" s="3">
        <v>6</v>
      </c>
      <c r="V564" s="3">
        <v>4</v>
      </c>
      <c r="X564" s="2" t="s">
        <v>114</v>
      </c>
      <c r="Y564" s="18">
        <v>0</v>
      </c>
      <c r="Z564" s="18">
        <v>3</v>
      </c>
      <c r="AA564" s="18">
        <v>1</v>
      </c>
      <c r="AB564" s="18">
        <v>0</v>
      </c>
      <c r="AC564" s="18">
        <v>2</v>
      </c>
      <c r="AD564" s="18">
        <v>1</v>
      </c>
      <c r="AN564" s="3">
        <f t="shared" si="20"/>
        <v>7</v>
      </c>
      <c r="AO564" s="3">
        <v>6</v>
      </c>
      <c r="AP564" s="3">
        <v>0</v>
      </c>
      <c r="AR564" s="2" t="s">
        <v>117</v>
      </c>
    </row>
    <row r="565" spans="1:44" ht="12.75" customHeight="1">
      <c r="A565" s="5">
        <v>37034</v>
      </c>
      <c r="B565" s="2" t="s">
        <v>152</v>
      </c>
      <c r="C565" s="2" t="s">
        <v>191</v>
      </c>
      <c r="D565" s="2" t="s">
        <v>258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T565" s="3">
        <f t="shared" si="21"/>
        <v>0</v>
      </c>
      <c r="U565" s="3">
        <v>4</v>
      </c>
      <c r="V565" s="3">
        <v>2</v>
      </c>
      <c r="X565" s="2" t="s">
        <v>122</v>
      </c>
      <c r="Y565" s="18">
        <v>2</v>
      </c>
      <c r="Z565" s="18">
        <v>3</v>
      </c>
      <c r="AA565" s="18">
        <v>0</v>
      </c>
      <c r="AB565" s="18">
        <v>0</v>
      </c>
      <c r="AC565" s="18">
        <v>2</v>
      </c>
      <c r="AD565" s="18">
        <v>0</v>
      </c>
      <c r="AE565" s="18" t="s">
        <v>162</v>
      </c>
      <c r="AN565" s="3">
        <f t="shared" si="20"/>
        <v>7</v>
      </c>
      <c r="AO565" s="3">
        <v>6</v>
      </c>
      <c r="AP565" s="3">
        <v>1</v>
      </c>
      <c r="AR565" s="2" t="s">
        <v>123</v>
      </c>
    </row>
    <row r="566" spans="1:44" ht="12.75" customHeight="1">
      <c r="A566" s="8">
        <v>37351</v>
      </c>
      <c r="C566" s="2" t="s">
        <v>191</v>
      </c>
      <c r="E566" s="18">
        <v>0</v>
      </c>
      <c r="F566" s="18">
        <v>0</v>
      </c>
      <c r="G566" s="18">
        <v>0</v>
      </c>
      <c r="H566" s="18">
        <v>12</v>
      </c>
      <c r="I566" s="18">
        <v>0</v>
      </c>
      <c r="J566" s="18" t="s">
        <v>162</v>
      </c>
      <c r="T566" s="3">
        <f t="shared" si="21"/>
        <v>12</v>
      </c>
      <c r="U566" s="3">
        <v>10</v>
      </c>
      <c r="V566" s="3">
        <v>1</v>
      </c>
      <c r="X566" s="2" t="s">
        <v>97</v>
      </c>
      <c r="Y566" s="18">
        <v>0</v>
      </c>
      <c r="Z566" s="18">
        <v>0</v>
      </c>
      <c r="AA566" s="18">
        <v>0</v>
      </c>
      <c r="AB566" s="18">
        <v>1</v>
      </c>
      <c r="AC566" s="18">
        <v>0</v>
      </c>
      <c r="AD566" s="18">
        <v>0</v>
      </c>
      <c r="AN566" s="3">
        <f t="shared" si="20"/>
        <v>1</v>
      </c>
      <c r="AO566" s="3">
        <v>3</v>
      </c>
      <c r="AP566" s="3">
        <v>7</v>
      </c>
      <c r="AR566" s="2" t="s">
        <v>1423</v>
      </c>
    </row>
    <row r="567" spans="1:44" ht="12.75" customHeight="1">
      <c r="A567" s="8">
        <v>37755</v>
      </c>
      <c r="B567" s="2" t="s">
        <v>152</v>
      </c>
      <c r="C567" s="2" t="s">
        <v>191</v>
      </c>
      <c r="E567" s="18">
        <v>1</v>
      </c>
      <c r="F567" s="18">
        <v>2</v>
      </c>
      <c r="G567" s="18">
        <v>0</v>
      </c>
      <c r="H567" s="18">
        <v>0</v>
      </c>
      <c r="I567" s="18">
        <v>2</v>
      </c>
      <c r="J567" s="18">
        <v>2</v>
      </c>
      <c r="K567" s="18">
        <v>0</v>
      </c>
      <c r="T567" s="3">
        <f t="shared" si="21"/>
        <v>7</v>
      </c>
      <c r="U567" s="3">
        <v>6</v>
      </c>
      <c r="V567" s="3">
        <v>1</v>
      </c>
      <c r="X567" s="2" t="s">
        <v>20</v>
      </c>
      <c r="Y567" s="18">
        <v>0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  <c r="AE567" s="18">
        <v>0</v>
      </c>
      <c r="AN567" s="3">
        <f t="shared" si="20"/>
        <v>0</v>
      </c>
      <c r="AO567" s="3">
        <v>2</v>
      </c>
      <c r="AP567" s="3">
        <v>1</v>
      </c>
      <c r="AR567" s="2" t="s">
        <v>587</v>
      </c>
    </row>
    <row r="568" spans="1:44" ht="12.75" customHeight="1">
      <c r="A568" s="5">
        <v>38121</v>
      </c>
      <c r="C568" s="2" t="s">
        <v>191</v>
      </c>
      <c r="E568" s="18">
        <v>0</v>
      </c>
      <c r="F568" s="18">
        <v>10</v>
      </c>
      <c r="G568" s="18">
        <v>3</v>
      </c>
      <c r="H568" s="18">
        <v>4</v>
      </c>
      <c r="I568" s="18">
        <v>0</v>
      </c>
      <c r="J568" s="18">
        <v>4</v>
      </c>
      <c r="T568" s="3">
        <f t="shared" si="21"/>
        <v>21</v>
      </c>
      <c r="U568" s="3">
        <v>15</v>
      </c>
      <c r="V568" s="3">
        <v>3</v>
      </c>
      <c r="X568" s="2" t="s">
        <v>596</v>
      </c>
      <c r="Y568" s="18">
        <v>3</v>
      </c>
      <c r="Z568" s="18">
        <v>5</v>
      </c>
      <c r="AA568" s="18">
        <v>1</v>
      </c>
      <c r="AB568" s="18">
        <v>0</v>
      </c>
      <c r="AC568" s="18">
        <v>0</v>
      </c>
      <c r="AD568" s="18">
        <v>2</v>
      </c>
      <c r="AN568" s="3">
        <f t="shared" si="20"/>
        <v>11</v>
      </c>
      <c r="AO568" s="3">
        <v>13</v>
      </c>
      <c r="AP568" s="3">
        <v>7</v>
      </c>
      <c r="AR568" s="2" t="s">
        <v>597</v>
      </c>
    </row>
    <row r="569" spans="1:44" ht="12.75" customHeight="1">
      <c r="A569" s="5">
        <v>38134</v>
      </c>
      <c r="C569" s="2" t="s">
        <v>191</v>
      </c>
      <c r="D569" s="2" t="s">
        <v>258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T569" s="3">
        <f t="shared" si="21"/>
        <v>0</v>
      </c>
      <c r="U569" s="3">
        <v>5</v>
      </c>
      <c r="V569" s="3">
        <v>2</v>
      </c>
      <c r="X569" s="2" t="s">
        <v>570</v>
      </c>
      <c r="Y569" s="18">
        <v>1</v>
      </c>
      <c r="Z569" s="18">
        <v>2</v>
      </c>
      <c r="AA569" s="18">
        <v>0</v>
      </c>
      <c r="AB569" s="18">
        <v>0</v>
      </c>
      <c r="AC569" s="18">
        <v>0</v>
      </c>
      <c r="AD569" s="18">
        <v>0</v>
      </c>
      <c r="AE569" s="18">
        <v>1</v>
      </c>
      <c r="AN569" s="3">
        <f t="shared" si="20"/>
        <v>4</v>
      </c>
      <c r="AO569" s="3">
        <v>7</v>
      </c>
      <c r="AP569" s="3">
        <v>1</v>
      </c>
      <c r="AR569" s="2" t="s">
        <v>2389</v>
      </c>
    </row>
    <row r="570" spans="1:44" ht="12.75" customHeight="1">
      <c r="A570" s="5">
        <f>DATE(2005,5,11)</f>
        <v>38483</v>
      </c>
      <c r="C570" s="2" t="s">
        <v>191</v>
      </c>
      <c r="E570" s="18">
        <v>2</v>
      </c>
      <c r="F570" s="18">
        <v>0</v>
      </c>
      <c r="G570" s="18">
        <v>1</v>
      </c>
      <c r="H570" s="18">
        <v>0</v>
      </c>
      <c r="I570" s="18">
        <v>0</v>
      </c>
      <c r="J570" s="18">
        <v>0</v>
      </c>
      <c r="K570" s="18">
        <v>0</v>
      </c>
      <c r="T570" s="3">
        <f t="shared" si="21"/>
        <v>3</v>
      </c>
      <c r="U570" s="3">
        <v>7</v>
      </c>
      <c r="V570" s="3">
        <v>1</v>
      </c>
      <c r="X570" s="2" t="s">
        <v>558</v>
      </c>
      <c r="Y570" s="18">
        <v>0</v>
      </c>
      <c r="Z570" s="18">
        <v>0</v>
      </c>
      <c r="AA570" s="18">
        <v>0</v>
      </c>
      <c r="AB570" s="18">
        <v>2</v>
      </c>
      <c r="AC570" s="18">
        <v>0</v>
      </c>
      <c r="AD570" s="18">
        <v>3</v>
      </c>
      <c r="AN570" s="3">
        <f t="shared" si="20"/>
        <v>5</v>
      </c>
      <c r="AO570" s="3">
        <v>6</v>
      </c>
      <c r="AP570" s="3">
        <v>2</v>
      </c>
      <c r="AR570" s="2" t="s">
        <v>559</v>
      </c>
    </row>
    <row r="571" spans="1:44" ht="12.75" customHeight="1">
      <c r="A571" s="5">
        <v>38856</v>
      </c>
      <c r="C571" s="2" t="s">
        <v>191</v>
      </c>
      <c r="E571" s="18">
        <v>0</v>
      </c>
      <c r="F571" s="18">
        <v>3</v>
      </c>
      <c r="G571" s="18">
        <v>0</v>
      </c>
      <c r="H571" s="18">
        <v>0</v>
      </c>
      <c r="I571" s="18">
        <v>2</v>
      </c>
      <c r="J571" s="18">
        <v>4</v>
      </c>
      <c r="K571" s="18" t="s">
        <v>162</v>
      </c>
      <c r="T571" s="3">
        <f t="shared" si="21"/>
        <v>9</v>
      </c>
      <c r="U571" s="3">
        <v>7</v>
      </c>
      <c r="V571" s="3">
        <v>1</v>
      </c>
      <c r="X571" s="2" t="s">
        <v>551</v>
      </c>
      <c r="Y571" s="18">
        <v>0</v>
      </c>
      <c r="Z571" s="18">
        <v>2</v>
      </c>
      <c r="AA571" s="18">
        <v>0</v>
      </c>
      <c r="AB571" s="18">
        <v>1</v>
      </c>
      <c r="AC571" s="18">
        <v>0</v>
      </c>
      <c r="AD571" s="18">
        <v>0</v>
      </c>
      <c r="AE571" s="18">
        <v>3</v>
      </c>
      <c r="AN571" s="3">
        <f t="shared" si="20"/>
        <v>6</v>
      </c>
      <c r="AO571" s="3">
        <v>12</v>
      </c>
      <c r="AP571" s="3">
        <v>2</v>
      </c>
      <c r="AR571" s="2" t="s">
        <v>1677</v>
      </c>
    </row>
    <row r="572" spans="1:44" ht="12.75" customHeight="1">
      <c r="A572" s="5">
        <v>39211</v>
      </c>
      <c r="B572" s="2" t="s">
        <v>152</v>
      </c>
      <c r="C572" s="2" t="s">
        <v>191</v>
      </c>
      <c r="E572" s="18">
        <v>1</v>
      </c>
      <c r="F572" s="18">
        <v>2</v>
      </c>
      <c r="G572" s="18">
        <v>0</v>
      </c>
      <c r="H572" s="18">
        <v>0</v>
      </c>
      <c r="I572" s="18">
        <v>0</v>
      </c>
      <c r="J572" s="18">
        <v>0</v>
      </c>
      <c r="K572" s="18">
        <v>1</v>
      </c>
      <c r="T572" s="3">
        <f t="shared" si="21"/>
        <v>4</v>
      </c>
      <c r="U572" s="3">
        <v>10</v>
      </c>
      <c r="V572" s="3">
        <v>2</v>
      </c>
      <c r="X572" s="2" t="s">
        <v>475</v>
      </c>
      <c r="Y572" s="18">
        <v>4</v>
      </c>
      <c r="Z572" s="18">
        <v>0</v>
      </c>
      <c r="AA572" s="18">
        <v>1</v>
      </c>
      <c r="AB572" s="18">
        <v>2</v>
      </c>
      <c r="AC572" s="18">
        <v>1</v>
      </c>
      <c r="AD572" s="18">
        <v>2</v>
      </c>
      <c r="AE572" s="18" t="s">
        <v>162</v>
      </c>
      <c r="AN572" s="3">
        <f t="shared" si="20"/>
        <v>10</v>
      </c>
      <c r="AO572" s="3">
        <v>13</v>
      </c>
      <c r="AP572" s="3">
        <v>2</v>
      </c>
      <c r="AR572" s="2" t="s">
        <v>484</v>
      </c>
    </row>
    <row r="573" spans="1:44" ht="12.75" customHeight="1">
      <c r="A573" s="5">
        <v>39581</v>
      </c>
      <c r="C573" s="2" t="s">
        <v>191</v>
      </c>
      <c r="E573" s="18">
        <v>0</v>
      </c>
      <c r="F573" s="18">
        <v>0</v>
      </c>
      <c r="G573" s="18">
        <v>3</v>
      </c>
      <c r="H573" s="18">
        <v>2</v>
      </c>
      <c r="I573" s="18">
        <v>3</v>
      </c>
      <c r="J573" s="18">
        <v>0</v>
      </c>
      <c r="K573" s="18">
        <v>0</v>
      </c>
      <c r="T573" s="3">
        <f t="shared" si="21"/>
        <v>8</v>
      </c>
      <c r="U573" s="3">
        <v>11</v>
      </c>
      <c r="V573" s="3">
        <v>4</v>
      </c>
      <c r="X573" s="2" t="s">
        <v>1382</v>
      </c>
      <c r="Y573" s="18">
        <v>1</v>
      </c>
      <c r="Z573" s="18">
        <v>3</v>
      </c>
      <c r="AA573" s="18">
        <v>0</v>
      </c>
      <c r="AB573" s="18">
        <v>4</v>
      </c>
      <c r="AC573" s="18">
        <v>0</v>
      </c>
      <c r="AD573" s="18">
        <v>2</v>
      </c>
      <c r="AE573" s="18">
        <v>6</v>
      </c>
      <c r="AN573" s="3">
        <f t="shared" si="20"/>
        <v>16</v>
      </c>
      <c r="AO573" s="3">
        <v>16</v>
      </c>
      <c r="AP573" s="3">
        <v>1</v>
      </c>
      <c r="AR573" s="2" t="s">
        <v>1381</v>
      </c>
    </row>
    <row r="574" spans="1:44" ht="12.75" customHeight="1">
      <c r="A574" s="5">
        <v>39903</v>
      </c>
      <c r="B574" s="2" t="s">
        <v>152</v>
      </c>
      <c r="C574" s="2" t="s">
        <v>191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1</v>
      </c>
      <c r="K574" s="18">
        <v>0</v>
      </c>
      <c r="T574" s="3">
        <f t="shared" si="21"/>
        <v>1</v>
      </c>
      <c r="U574" s="3">
        <v>6</v>
      </c>
      <c r="V574" s="3">
        <v>2</v>
      </c>
      <c r="X574" s="2" t="s">
        <v>380</v>
      </c>
      <c r="Y574" s="18">
        <v>0</v>
      </c>
      <c r="Z574" s="18">
        <v>3</v>
      </c>
      <c r="AA574" s="18">
        <v>0</v>
      </c>
      <c r="AB574" s="18">
        <v>1</v>
      </c>
      <c r="AC574" s="18">
        <v>1</v>
      </c>
      <c r="AD574" s="18">
        <v>3</v>
      </c>
      <c r="AE574" s="18" t="s">
        <v>162</v>
      </c>
      <c r="AN574" s="3">
        <f t="shared" si="20"/>
        <v>8</v>
      </c>
      <c r="AO574" s="3">
        <v>10</v>
      </c>
      <c r="AP574" s="3">
        <v>1</v>
      </c>
      <c r="AR574" s="2" t="s">
        <v>1758</v>
      </c>
    </row>
    <row r="575" spans="1:44" ht="12.75" customHeight="1">
      <c r="A575" s="5">
        <v>39930</v>
      </c>
      <c r="C575" s="2" t="s">
        <v>191</v>
      </c>
      <c r="E575" s="18">
        <v>0</v>
      </c>
      <c r="F575" s="18">
        <v>6</v>
      </c>
      <c r="G575" s="18">
        <v>0</v>
      </c>
      <c r="H575" s="18">
        <v>5</v>
      </c>
      <c r="I575" s="18">
        <v>2</v>
      </c>
      <c r="J575" s="18">
        <v>1</v>
      </c>
      <c r="K575" s="18" t="s">
        <v>162</v>
      </c>
      <c r="T575" s="3">
        <f t="shared" si="21"/>
        <v>14</v>
      </c>
      <c r="U575" s="3">
        <v>13</v>
      </c>
      <c r="V575" s="3">
        <v>1</v>
      </c>
      <c r="X575" s="2" t="s">
        <v>1777</v>
      </c>
      <c r="Y575" s="18">
        <v>0</v>
      </c>
      <c r="Z575" s="18">
        <v>3</v>
      </c>
      <c r="AA575" s="18">
        <v>1</v>
      </c>
      <c r="AB575" s="18">
        <v>0</v>
      </c>
      <c r="AC575" s="18">
        <v>3</v>
      </c>
      <c r="AD575" s="18">
        <v>0</v>
      </c>
      <c r="AE575" s="18">
        <v>0</v>
      </c>
      <c r="AN575" s="3">
        <f t="shared" si="20"/>
        <v>7</v>
      </c>
      <c r="AO575" s="3">
        <v>7</v>
      </c>
      <c r="AP575" s="3">
        <v>3</v>
      </c>
      <c r="AR575" s="2" t="s">
        <v>1778</v>
      </c>
    </row>
    <row r="576" spans="1:44" ht="12.75" customHeight="1">
      <c r="A576" s="5">
        <v>40280</v>
      </c>
      <c r="C576" s="2" t="s">
        <v>191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7</v>
      </c>
      <c r="K576" s="18" t="s">
        <v>162</v>
      </c>
      <c r="T576" s="3">
        <f t="shared" si="21"/>
        <v>7</v>
      </c>
      <c r="U576" s="3">
        <v>9</v>
      </c>
      <c r="V576" s="3">
        <v>1</v>
      </c>
      <c r="X576" s="2" t="s">
        <v>763</v>
      </c>
      <c r="Y576" s="18">
        <v>0</v>
      </c>
      <c r="Z576" s="18">
        <v>0</v>
      </c>
      <c r="AA576" s="18">
        <v>2</v>
      </c>
      <c r="AB576" s="18">
        <v>0</v>
      </c>
      <c r="AC576" s="18">
        <v>2</v>
      </c>
      <c r="AD576" s="18">
        <v>2</v>
      </c>
      <c r="AE576" s="18">
        <v>0</v>
      </c>
      <c r="AN576" s="3">
        <f t="shared" si="20"/>
        <v>6</v>
      </c>
      <c r="AO576" s="3">
        <v>9</v>
      </c>
      <c r="AP576" s="3">
        <v>3</v>
      </c>
      <c r="AR576" s="2" t="s">
        <v>762</v>
      </c>
    </row>
    <row r="577" spans="1:44" ht="12.75" customHeight="1">
      <c r="A577" s="5">
        <v>40301</v>
      </c>
      <c r="B577" s="2" t="s">
        <v>152</v>
      </c>
      <c r="C577" s="2" t="s">
        <v>191</v>
      </c>
      <c r="E577" s="18">
        <v>0</v>
      </c>
      <c r="F577" s="18">
        <v>1</v>
      </c>
      <c r="G577" s="18">
        <v>0</v>
      </c>
      <c r="H577" s="18">
        <v>0</v>
      </c>
      <c r="I577" s="18">
        <v>0</v>
      </c>
      <c r="J577" s="18">
        <v>3</v>
      </c>
      <c r="K577" s="18">
        <v>1</v>
      </c>
      <c r="T577" s="3">
        <f t="shared" si="21"/>
        <v>5</v>
      </c>
      <c r="U577" s="3">
        <v>8</v>
      </c>
      <c r="V577" s="3">
        <v>3</v>
      </c>
      <c r="X577" s="2" t="s">
        <v>782</v>
      </c>
      <c r="Y577" s="18">
        <v>1</v>
      </c>
      <c r="Z577" s="18">
        <v>0</v>
      </c>
      <c r="AA577" s="18">
        <v>2</v>
      </c>
      <c r="AB577" s="18">
        <v>0</v>
      </c>
      <c r="AC577" s="18">
        <v>1</v>
      </c>
      <c r="AD577" s="18">
        <v>0</v>
      </c>
      <c r="AE577" s="18">
        <v>2</v>
      </c>
      <c r="AN577" s="3">
        <f t="shared" si="20"/>
        <v>6</v>
      </c>
      <c r="AO577" s="3">
        <v>11</v>
      </c>
      <c r="AP577" s="3">
        <v>2</v>
      </c>
      <c r="AR577" s="2" t="s">
        <v>1381</v>
      </c>
    </row>
    <row r="578" spans="1:44" ht="12.75" customHeight="1">
      <c r="A578" s="5">
        <v>41039</v>
      </c>
      <c r="B578" s="2" t="s">
        <v>152</v>
      </c>
      <c r="C578" s="2" t="s">
        <v>191</v>
      </c>
      <c r="E578" s="18">
        <v>0</v>
      </c>
      <c r="F578" s="18">
        <v>1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T578" s="3">
        <f t="shared" si="21"/>
        <v>1</v>
      </c>
      <c r="U578" s="3">
        <v>4</v>
      </c>
      <c r="V578" s="3">
        <v>0</v>
      </c>
      <c r="X578" s="2" t="s">
        <v>2029</v>
      </c>
      <c r="Y578" s="18">
        <v>2</v>
      </c>
      <c r="Z578" s="18">
        <v>1</v>
      </c>
      <c r="AA578" s="18">
        <v>0</v>
      </c>
      <c r="AB578" s="18">
        <v>1</v>
      </c>
      <c r="AC578" s="18">
        <v>1</v>
      </c>
      <c r="AD578" s="18">
        <v>0</v>
      </c>
      <c r="AE578" s="18" t="s">
        <v>162</v>
      </c>
      <c r="AN578" s="3">
        <f t="shared" si="20"/>
        <v>5</v>
      </c>
      <c r="AO578" s="3">
        <v>6</v>
      </c>
      <c r="AP578" s="3">
        <v>0</v>
      </c>
      <c r="AR578" s="2" t="s">
        <v>2028</v>
      </c>
    </row>
    <row r="579" spans="1:44" ht="12.75" customHeight="1">
      <c r="A579" s="5">
        <v>41379</v>
      </c>
      <c r="C579" s="2" t="s">
        <v>191</v>
      </c>
      <c r="E579" s="18">
        <v>1</v>
      </c>
      <c r="F579" s="18">
        <v>4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T579" s="3">
        <f t="shared" si="21"/>
        <v>5</v>
      </c>
      <c r="U579" s="3">
        <v>6</v>
      </c>
      <c r="V579" s="3">
        <v>4</v>
      </c>
      <c r="X579" s="2" t="s">
        <v>2104</v>
      </c>
      <c r="Y579" s="18">
        <v>2</v>
      </c>
      <c r="Z579" s="18">
        <v>0</v>
      </c>
      <c r="AA579" s="18">
        <v>4</v>
      </c>
      <c r="AB579" s="18">
        <v>0</v>
      </c>
      <c r="AC579" s="18">
        <v>0</v>
      </c>
      <c r="AD579" s="18">
        <v>0</v>
      </c>
      <c r="AE579" s="18">
        <v>0</v>
      </c>
      <c r="AN579" s="3">
        <f t="shared" si="20"/>
        <v>6</v>
      </c>
      <c r="AO579" s="3">
        <v>9</v>
      </c>
      <c r="AP579" s="3">
        <v>1</v>
      </c>
      <c r="AR579" s="2" t="s">
        <v>2105</v>
      </c>
    </row>
    <row r="580" spans="1:44" ht="12.75" customHeight="1">
      <c r="A580" s="5">
        <v>41750</v>
      </c>
      <c r="C580" s="2" t="s">
        <v>191</v>
      </c>
      <c r="E580" s="18">
        <v>0</v>
      </c>
      <c r="F580" s="18">
        <v>2</v>
      </c>
      <c r="G580" s="18">
        <v>0</v>
      </c>
      <c r="H580" s="18">
        <v>1</v>
      </c>
      <c r="I580" s="18">
        <v>0</v>
      </c>
      <c r="J580" s="18">
        <v>0</v>
      </c>
      <c r="K580" s="18">
        <v>0</v>
      </c>
      <c r="T580" s="3">
        <f t="shared" si="21"/>
        <v>3</v>
      </c>
      <c r="U580" s="3">
        <v>5</v>
      </c>
      <c r="V580" s="3">
        <v>3</v>
      </c>
      <c r="X580" s="2" t="s">
        <v>2075</v>
      </c>
      <c r="Y580" s="18">
        <v>0</v>
      </c>
      <c r="Z580" s="18">
        <v>0</v>
      </c>
      <c r="AA580" s="18">
        <v>0</v>
      </c>
      <c r="AB580" s="18">
        <v>0</v>
      </c>
      <c r="AC580" s="18">
        <v>6</v>
      </c>
      <c r="AD580" s="18">
        <v>1</v>
      </c>
      <c r="AE580" s="18">
        <v>0</v>
      </c>
      <c r="AN580" s="3">
        <f t="shared" si="20"/>
        <v>7</v>
      </c>
      <c r="AO580" s="3">
        <v>10</v>
      </c>
      <c r="AP580" s="3">
        <v>1</v>
      </c>
      <c r="AR580" s="2" t="s">
        <v>2074</v>
      </c>
    </row>
    <row r="581" spans="1:44" ht="12.75" customHeight="1">
      <c r="A581" s="5">
        <v>42507</v>
      </c>
      <c r="C581" s="2" t="s">
        <v>191</v>
      </c>
      <c r="E581" s="18">
        <v>4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 t="s">
        <v>162</v>
      </c>
      <c r="T581" s="3">
        <f t="shared" si="21"/>
        <v>4</v>
      </c>
      <c r="U581" s="3">
        <v>5</v>
      </c>
      <c r="V581" s="3">
        <v>1</v>
      </c>
      <c r="X581" s="2" t="s">
        <v>2065</v>
      </c>
      <c r="Y581" s="18">
        <v>0</v>
      </c>
      <c r="Z581" s="18">
        <v>0</v>
      </c>
      <c r="AA581" s="18">
        <v>1</v>
      </c>
      <c r="AB581" s="18">
        <v>0</v>
      </c>
      <c r="AC581" s="18">
        <v>0</v>
      </c>
      <c r="AD581" s="18">
        <v>0</v>
      </c>
      <c r="AE581" s="18">
        <v>0</v>
      </c>
      <c r="AN581" s="3">
        <f t="shared" si="20"/>
        <v>1</v>
      </c>
      <c r="AO581" s="3">
        <v>6</v>
      </c>
      <c r="AP581" s="3">
        <v>1</v>
      </c>
      <c r="AR581" s="2" t="s">
        <v>2172</v>
      </c>
    </row>
    <row r="582" spans="1:44" ht="12.75" customHeight="1">
      <c r="A582" s="5">
        <v>42870</v>
      </c>
      <c r="B582" s="2" t="s">
        <v>152</v>
      </c>
      <c r="C582" s="2" t="s">
        <v>191</v>
      </c>
      <c r="E582" s="18">
        <v>4</v>
      </c>
      <c r="F582" s="18">
        <v>0</v>
      </c>
      <c r="G582" s="18">
        <v>0</v>
      </c>
      <c r="H582" s="18">
        <v>2</v>
      </c>
      <c r="I582" s="18">
        <v>0</v>
      </c>
      <c r="J582" s="18">
        <v>0</v>
      </c>
      <c r="K582" s="18">
        <v>2</v>
      </c>
      <c r="T582" s="3">
        <f t="shared" si="21"/>
        <v>8</v>
      </c>
      <c r="U582" s="3">
        <v>11</v>
      </c>
      <c r="V582" s="3">
        <v>2</v>
      </c>
      <c r="X582" s="2" t="s">
        <v>2151</v>
      </c>
      <c r="Y582" s="18">
        <v>0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N582" s="3">
        <f t="shared" si="20"/>
        <v>0</v>
      </c>
      <c r="AO582" s="3">
        <v>4</v>
      </c>
      <c r="AP582" s="3">
        <v>2</v>
      </c>
      <c r="AR582" s="2" t="s">
        <v>2180</v>
      </c>
    </row>
    <row r="583" spans="1:44" ht="12.75" customHeight="1">
      <c r="A583" s="5">
        <v>43602</v>
      </c>
      <c r="B583" s="2" t="s">
        <v>152</v>
      </c>
      <c r="C583" s="2" t="s">
        <v>191</v>
      </c>
      <c r="E583" s="18">
        <v>3</v>
      </c>
      <c r="F583" s="18">
        <v>0</v>
      </c>
      <c r="G583" s="18">
        <v>0</v>
      </c>
      <c r="H583" s="18">
        <v>2</v>
      </c>
      <c r="I583" s="18">
        <v>2</v>
      </c>
      <c r="J583" s="18">
        <v>0</v>
      </c>
      <c r="K583" s="18">
        <v>1</v>
      </c>
      <c r="T583" s="3">
        <f t="shared" si="21"/>
        <v>8</v>
      </c>
      <c r="U583" s="3">
        <v>11</v>
      </c>
      <c r="V583" s="3">
        <v>0</v>
      </c>
      <c r="X583" s="2" t="s">
        <v>2237</v>
      </c>
      <c r="Y583" s="18">
        <v>0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  <c r="AE583" s="18">
        <v>0</v>
      </c>
      <c r="AN583" s="3">
        <f t="shared" si="20"/>
        <v>0</v>
      </c>
      <c r="AO583" s="3">
        <v>2</v>
      </c>
      <c r="AP583" s="3">
        <v>0</v>
      </c>
      <c r="AR583" s="2" t="s">
        <v>2297</v>
      </c>
    </row>
    <row r="584" spans="1:44" ht="12.75" customHeight="1">
      <c r="A584" s="5">
        <v>44334</v>
      </c>
      <c r="C584" s="2" t="s">
        <v>191</v>
      </c>
      <c r="E584" s="18">
        <v>0</v>
      </c>
      <c r="F584" s="18">
        <v>6</v>
      </c>
      <c r="G584" s="18">
        <v>2</v>
      </c>
      <c r="H584" s="18">
        <v>1</v>
      </c>
      <c r="I584" s="18">
        <v>1</v>
      </c>
      <c r="J584" s="18">
        <v>1</v>
      </c>
      <c r="K584" s="18">
        <v>0</v>
      </c>
      <c r="T584" s="3">
        <f t="shared" si="21"/>
        <v>11</v>
      </c>
      <c r="U584" s="3">
        <v>12</v>
      </c>
      <c r="V584" s="3">
        <v>4</v>
      </c>
      <c r="X584" s="2" t="s">
        <v>2256</v>
      </c>
      <c r="Y584" s="18">
        <v>3</v>
      </c>
      <c r="Z584" s="18">
        <v>1</v>
      </c>
      <c r="AA584" s="18">
        <v>5</v>
      </c>
      <c r="AB584" s="18">
        <v>0</v>
      </c>
      <c r="AC584" s="18">
        <v>0</v>
      </c>
      <c r="AD584" s="18">
        <v>0</v>
      </c>
      <c r="AE584" s="18">
        <v>6</v>
      </c>
      <c r="AN584" s="3">
        <f t="shared" si="20"/>
        <v>15</v>
      </c>
      <c r="AO584" s="3">
        <v>10</v>
      </c>
      <c r="AP584" s="3">
        <v>4</v>
      </c>
      <c r="AR584" s="2" t="s">
        <v>2255</v>
      </c>
    </row>
    <row r="585" spans="1:44" ht="12.75">
      <c r="A585" s="5">
        <v>44679</v>
      </c>
      <c r="B585" s="2" t="s">
        <v>152</v>
      </c>
      <c r="C585" s="2" t="s">
        <v>191</v>
      </c>
      <c r="E585" s="18">
        <v>0</v>
      </c>
      <c r="F585" s="18">
        <v>1</v>
      </c>
      <c r="G585" s="18">
        <v>0</v>
      </c>
      <c r="H585" s="18">
        <v>0</v>
      </c>
      <c r="I585" s="18">
        <v>2</v>
      </c>
      <c r="J585" s="18">
        <v>3</v>
      </c>
      <c r="K585" s="18">
        <v>0</v>
      </c>
      <c r="T585" s="3">
        <v>6</v>
      </c>
      <c r="U585" s="3">
        <v>9</v>
      </c>
      <c r="V585" s="3">
        <v>2</v>
      </c>
      <c r="X585" s="2" t="s">
        <v>2293</v>
      </c>
      <c r="Y585" s="18">
        <v>0</v>
      </c>
      <c r="Z585" s="18">
        <v>0</v>
      </c>
      <c r="AA585" s="18">
        <v>0</v>
      </c>
      <c r="AB585" s="18">
        <v>5</v>
      </c>
      <c r="AC585" s="18">
        <v>0</v>
      </c>
      <c r="AD585" s="18">
        <v>0</v>
      </c>
      <c r="AE585" s="18">
        <v>0</v>
      </c>
      <c r="AN585" s="3">
        <v>5</v>
      </c>
      <c r="AO585" s="3">
        <v>7</v>
      </c>
      <c r="AP585" s="3">
        <v>2</v>
      </c>
      <c r="AR585" s="2" t="s">
        <v>2350</v>
      </c>
    </row>
    <row r="586" spans="1:44" ht="12.75" customHeight="1">
      <c r="A586" s="4">
        <f>DATE(77,5,28)</f>
        <v>28273</v>
      </c>
      <c r="C586" s="2" t="s">
        <v>2212</v>
      </c>
      <c r="D586" s="2" t="s">
        <v>258</v>
      </c>
      <c r="E586" s="18">
        <v>0</v>
      </c>
      <c r="F586" s="18">
        <v>6</v>
      </c>
      <c r="G586" s="18">
        <v>4</v>
      </c>
      <c r="H586" s="18">
        <v>0</v>
      </c>
      <c r="I586" s="18" t="s">
        <v>162</v>
      </c>
      <c r="T586" s="3">
        <v>10</v>
      </c>
      <c r="U586" s="3">
        <v>9</v>
      </c>
      <c r="V586" s="3">
        <v>1</v>
      </c>
      <c r="X586" s="2" t="s">
        <v>1140</v>
      </c>
      <c r="Y586" s="18">
        <v>0</v>
      </c>
      <c r="Z586" s="18">
        <v>0</v>
      </c>
      <c r="AA586" s="18">
        <v>0</v>
      </c>
      <c r="AB586" s="18">
        <v>0</v>
      </c>
      <c r="AC586" s="18">
        <v>0</v>
      </c>
      <c r="AN586" s="3">
        <v>0</v>
      </c>
      <c r="AO586" s="3">
        <v>2</v>
      </c>
      <c r="AP586" s="3">
        <v>1</v>
      </c>
      <c r="AR586" s="2" t="s">
        <v>1141</v>
      </c>
    </row>
    <row r="587" spans="1:44" ht="12.75" customHeight="1">
      <c r="A587" s="4">
        <f>DATE(80,4,5)</f>
        <v>29316</v>
      </c>
      <c r="B587" s="2" t="s">
        <v>152</v>
      </c>
      <c r="C587" s="2" t="s">
        <v>1246</v>
      </c>
      <c r="E587" s="18">
        <v>1</v>
      </c>
      <c r="F587" s="18">
        <v>9</v>
      </c>
      <c r="G587" s="18">
        <v>0</v>
      </c>
      <c r="H587" s="18">
        <v>0</v>
      </c>
      <c r="I587" s="18">
        <v>0</v>
      </c>
      <c r="J587" s="18">
        <v>5</v>
      </c>
      <c r="K587" s="18">
        <v>0</v>
      </c>
      <c r="T587" s="3">
        <v>15</v>
      </c>
      <c r="U587" s="3">
        <v>11</v>
      </c>
      <c r="V587" s="3">
        <v>4</v>
      </c>
      <c r="X587" s="2" t="s">
        <v>1247</v>
      </c>
      <c r="Y587" s="18">
        <v>0</v>
      </c>
      <c r="Z587" s="18">
        <v>1</v>
      </c>
      <c r="AA587" s="18">
        <v>0</v>
      </c>
      <c r="AB587" s="18">
        <v>4</v>
      </c>
      <c r="AC587" s="18">
        <v>2</v>
      </c>
      <c r="AD587" s="18">
        <v>0</v>
      </c>
      <c r="AE587" s="18">
        <v>3</v>
      </c>
      <c r="AN587" s="3">
        <v>10</v>
      </c>
      <c r="AO587" s="3">
        <v>13</v>
      </c>
      <c r="AP587" s="3">
        <v>7</v>
      </c>
      <c r="AR587" s="2" t="s">
        <v>1248</v>
      </c>
    </row>
    <row r="588" spans="1:44" ht="12.75" customHeight="1">
      <c r="A588" s="4">
        <f>DATE(83,3,30)</f>
        <v>30405</v>
      </c>
      <c r="B588" s="2" t="s">
        <v>152</v>
      </c>
      <c r="C588" s="2" t="s">
        <v>1246</v>
      </c>
      <c r="E588" s="18">
        <v>0</v>
      </c>
      <c r="F588" s="18">
        <v>3</v>
      </c>
      <c r="G588" s="18">
        <v>0</v>
      </c>
      <c r="H588" s="18">
        <v>0</v>
      </c>
      <c r="I588" s="18">
        <v>0</v>
      </c>
      <c r="J588" s="18">
        <v>2</v>
      </c>
      <c r="K588" s="18">
        <v>0</v>
      </c>
      <c r="T588" s="3">
        <v>5</v>
      </c>
      <c r="U588" s="3">
        <v>3</v>
      </c>
      <c r="V588" s="3">
        <v>1</v>
      </c>
      <c r="X588" s="2" t="s">
        <v>1339</v>
      </c>
      <c r="Y588" s="18">
        <v>0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  <c r="AE588" s="18">
        <v>0</v>
      </c>
      <c r="AN588" s="3">
        <v>0</v>
      </c>
      <c r="AO588" s="3">
        <v>1</v>
      </c>
      <c r="AP588" s="3">
        <v>2</v>
      </c>
      <c r="AR588" s="2" t="s">
        <v>1396</v>
      </c>
    </row>
    <row r="589" spans="1:44" ht="12.75" customHeight="1">
      <c r="A589" s="4">
        <f>DATE(78,6,15)</f>
        <v>28656</v>
      </c>
      <c r="B589" s="2" t="s">
        <v>239</v>
      </c>
      <c r="C589" s="2" t="s">
        <v>281</v>
      </c>
      <c r="D589" s="2" t="s">
        <v>260</v>
      </c>
      <c r="E589" s="18">
        <v>2</v>
      </c>
      <c r="F589" s="18">
        <v>1</v>
      </c>
      <c r="G589" s="18">
        <v>0</v>
      </c>
      <c r="H589" s="18">
        <v>1</v>
      </c>
      <c r="I589" s="18">
        <v>0</v>
      </c>
      <c r="J589" s="18">
        <v>0</v>
      </c>
      <c r="K589" s="18">
        <v>0</v>
      </c>
      <c r="T589" s="3">
        <v>4</v>
      </c>
      <c r="U589" s="3">
        <v>8</v>
      </c>
      <c r="V589" s="3">
        <v>1</v>
      </c>
      <c r="X589" s="2" t="s">
        <v>1070</v>
      </c>
      <c r="Y589" s="18">
        <v>1</v>
      </c>
      <c r="Z589" s="18">
        <v>0</v>
      </c>
      <c r="AA589" s="18">
        <v>0</v>
      </c>
      <c r="AB589" s="18">
        <v>1</v>
      </c>
      <c r="AC589" s="18">
        <v>0</v>
      </c>
      <c r="AD589" s="18">
        <v>1</v>
      </c>
      <c r="AE589" s="18">
        <v>0</v>
      </c>
      <c r="AN589" s="3">
        <v>3</v>
      </c>
      <c r="AO589" s="3">
        <v>10</v>
      </c>
      <c r="AP589" s="3">
        <v>3</v>
      </c>
      <c r="AR589" s="2" t="s">
        <v>1183</v>
      </c>
    </row>
    <row r="590" spans="1:44" ht="12.75" customHeight="1">
      <c r="A590" s="4">
        <f>DATE(79,6,13)</f>
        <v>29019</v>
      </c>
      <c r="B590" s="2" t="s">
        <v>239</v>
      </c>
      <c r="C590" s="2" t="s">
        <v>281</v>
      </c>
      <c r="D590" s="2" t="s">
        <v>260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1</v>
      </c>
      <c r="K590" s="18" t="s">
        <v>162</v>
      </c>
      <c r="T590" s="3">
        <v>1</v>
      </c>
      <c r="U590" s="3">
        <v>4</v>
      </c>
      <c r="V590" s="3">
        <v>2</v>
      </c>
      <c r="X590" s="2" t="s">
        <v>1195</v>
      </c>
      <c r="Y590" s="18">
        <v>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N590" s="3">
        <v>0</v>
      </c>
      <c r="AO590" s="3">
        <v>3</v>
      </c>
      <c r="AP590" s="3">
        <v>3</v>
      </c>
      <c r="AR590" s="2" t="s">
        <v>1228</v>
      </c>
    </row>
    <row r="591" spans="1:44" ht="12.75" customHeight="1">
      <c r="A591" s="4">
        <f>DATE(79,3,23)</f>
        <v>28937</v>
      </c>
      <c r="B591" s="2" t="s">
        <v>152</v>
      </c>
      <c r="C591" s="2" t="s">
        <v>1189</v>
      </c>
      <c r="E591" s="18">
        <v>15</v>
      </c>
      <c r="F591" s="18">
        <v>9</v>
      </c>
      <c r="G591" s="18">
        <v>0</v>
      </c>
      <c r="H591" s="18">
        <v>0</v>
      </c>
      <c r="I591" s="18">
        <v>5</v>
      </c>
      <c r="T591" s="3">
        <v>29</v>
      </c>
      <c r="U591" s="3">
        <v>25</v>
      </c>
      <c r="V591" s="3">
        <v>2</v>
      </c>
      <c r="X591" s="2" t="s">
        <v>1190</v>
      </c>
      <c r="Y591" s="18">
        <v>0</v>
      </c>
      <c r="Z591" s="18">
        <v>0</v>
      </c>
      <c r="AA591" s="18">
        <v>0</v>
      </c>
      <c r="AB591" s="18">
        <v>3</v>
      </c>
      <c r="AC591" s="18">
        <v>2</v>
      </c>
      <c r="AN591" s="3">
        <v>5</v>
      </c>
      <c r="AO591" s="3">
        <v>5</v>
      </c>
      <c r="AP591" s="3">
        <v>5</v>
      </c>
      <c r="AR591" s="2" t="s">
        <v>275</v>
      </c>
    </row>
    <row r="592" spans="1:44" ht="12.75" customHeight="1">
      <c r="A592" s="4">
        <f>DATE(89,6,6)</f>
        <v>32665</v>
      </c>
      <c r="B592" s="2" t="s">
        <v>239</v>
      </c>
      <c r="C592" s="2" t="s">
        <v>393</v>
      </c>
      <c r="D592" s="2" t="s">
        <v>260</v>
      </c>
      <c r="E592" s="18">
        <v>0</v>
      </c>
      <c r="F592" s="18">
        <v>1</v>
      </c>
      <c r="G592" s="18">
        <v>0</v>
      </c>
      <c r="H592" s="18">
        <v>1</v>
      </c>
      <c r="I592" s="18">
        <v>0</v>
      </c>
      <c r="J592" s="18">
        <v>1</v>
      </c>
      <c r="K592" s="18">
        <v>0</v>
      </c>
      <c r="T592" s="3">
        <v>3</v>
      </c>
      <c r="U592" s="3">
        <v>4</v>
      </c>
      <c r="V592" s="3">
        <v>1</v>
      </c>
      <c r="X592" s="2" t="s">
        <v>1636</v>
      </c>
      <c r="Y592" s="18">
        <v>0</v>
      </c>
      <c r="Z592" s="18">
        <v>0</v>
      </c>
      <c r="AA592" s="18">
        <v>0</v>
      </c>
      <c r="AB592" s="18">
        <v>0</v>
      </c>
      <c r="AC592" s="18">
        <v>0</v>
      </c>
      <c r="AD592" s="18">
        <v>1</v>
      </c>
      <c r="AE592" s="18">
        <v>0</v>
      </c>
      <c r="AN592" s="3">
        <v>1</v>
      </c>
      <c r="AO592" s="3">
        <v>4</v>
      </c>
      <c r="AP592" s="3">
        <v>4</v>
      </c>
      <c r="AR592" s="2" t="s">
        <v>1661</v>
      </c>
    </row>
    <row r="593" spans="1:44" ht="12.75" customHeight="1">
      <c r="A593" s="4">
        <f>DATE(79,6,13)</f>
        <v>29019</v>
      </c>
      <c r="C593" s="2" t="s">
        <v>393</v>
      </c>
      <c r="D593" s="2" t="s">
        <v>260</v>
      </c>
      <c r="E593" s="18">
        <v>0</v>
      </c>
      <c r="F593" s="18">
        <v>0</v>
      </c>
      <c r="G593" s="18">
        <v>0</v>
      </c>
      <c r="H593" s="18">
        <v>3</v>
      </c>
      <c r="I593" s="18">
        <v>1</v>
      </c>
      <c r="J593" s="18">
        <v>1</v>
      </c>
      <c r="K593" s="18" t="s">
        <v>162</v>
      </c>
      <c r="T593" s="3">
        <v>5</v>
      </c>
      <c r="U593" s="3">
        <v>10</v>
      </c>
      <c r="V593" s="3">
        <v>1</v>
      </c>
      <c r="X593" s="2" t="s">
        <v>1636</v>
      </c>
      <c r="Y593" s="18">
        <v>0</v>
      </c>
      <c r="Z593" s="18">
        <v>0</v>
      </c>
      <c r="AA593" s="18">
        <v>0</v>
      </c>
      <c r="AB593" s="18">
        <v>0</v>
      </c>
      <c r="AC593" s="18">
        <v>0</v>
      </c>
      <c r="AD593" s="18">
        <v>2</v>
      </c>
      <c r="AE593" s="18">
        <v>0</v>
      </c>
      <c r="AN593" s="3">
        <v>2</v>
      </c>
      <c r="AO593" s="3">
        <v>2</v>
      </c>
      <c r="AP593" s="3">
        <v>1</v>
      </c>
      <c r="AR593" s="2" t="s">
        <v>1710</v>
      </c>
    </row>
    <row r="594" spans="1:44" ht="12.75" customHeight="1">
      <c r="A594" s="4">
        <f>DATE(79,3,23)</f>
        <v>28937</v>
      </c>
      <c r="B594" s="2" t="s">
        <v>239</v>
      </c>
      <c r="C594" s="2" t="s">
        <v>1628</v>
      </c>
      <c r="D594" s="2" t="s">
        <v>260</v>
      </c>
      <c r="E594" s="18">
        <v>2</v>
      </c>
      <c r="F594" s="18">
        <v>0</v>
      </c>
      <c r="G594" s="18">
        <v>1</v>
      </c>
      <c r="H594" s="18">
        <v>2</v>
      </c>
      <c r="I594" s="18">
        <v>0</v>
      </c>
      <c r="J594" s="18">
        <v>0</v>
      </c>
      <c r="K594" s="18">
        <v>0</v>
      </c>
      <c r="T594" s="3">
        <v>5</v>
      </c>
      <c r="U594" s="3">
        <v>8</v>
      </c>
      <c r="V594" s="3">
        <v>2</v>
      </c>
      <c r="X594" s="2" t="s">
        <v>1629</v>
      </c>
      <c r="Y594" s="18">
        <v>0</v>
      </c>
      <c r="Z594" s="18">
        <v>0</v>
      </c>
      <c r="AA594" s="18">
        <v>0</v>
      </c>
      <c r="AB594" s="18">
        <v>0</v>
      </c>
      <c r="AC594" s="18">
        <v>0</v>
      </c>
      <c r="AD594" s="18">
        <v>2</v>
      </c>
      <c r="AE594" s="18">
        <v>0</v>
      </c>
      <c r="AN594" s="3">
        <v>2</v>
      </c>
      <c r="AO594" s="3">
        <v>3</v>
      </c>
      <c r="AP594" s="3">
        <v>0</v>
      </c>
      <c r="AR594" s="2" t="s">
        <v>1630</v>
      </c>
    </row>
    <row r="595" spans="1:44" ht="12.75" customHeight="1">
      <c r="A595" s="4">
        <f>DATE(88,3,31)</f>
        <v>32233</v>
      </c>
      <c r="B595" s="2" t="s">
        <v>152</v>
      </c>
      <c r="C595" s="2" t="s">
        <v>1594</v>
      </c>
      <c r="E595" s="18">
        <v>3</v>
      </c>
      <c r="F595" s="18">
        <v>3</v>
      </c>
      <c r="G595" s="18">
        <v>0</v>
      </c>
      <c r="H595" s="18">
        <v>3</v>
      </c>
      <c r="I595" s="18">
        <v>0</v>
      </c>
      <c r="J595" s="18">
        <v>2</v>
      </c>
      <c r="K595" s="18">
        <v>1</v>
      </c>
      <c r="T595" s="3">
        <v>12</v>
      </c>
      <c r="U595" s="3">
        <v>13</v>
      </c>
      <c r="V595" s="3">
        <v>2</v>
      </c>
      <c r="X595" s="2" t="s">
        <v>1595</v>
      </c>
      <c r="Y595" s="18">
        <v>1</v>
      </c>
      <c r="Z595" s="18">
        <v>0</v>
      </c>
      <c r="AA595" s="18">
        <v>0</v>
      </c>
      <c r="AB595" s="18">
        <v>1</v>
      </c>
      <c r="AC595" s="18">
        <v>1</v>
      </c>
      <c r="AD595" s="18">
        <v>3</v>
      </c>
      <c r="AE595" s="18">
        <v>0</v>
      </c>
      <c r="AN595" s="3">
        <v>6</v>
      </c>
      <c r="AO595" s="3">
        <v>6</v>
      </c>
      <c r="AP595" s="3">
        <v>6</v>
      </c>
      <c r="AR595" s="2" t="s">
        <v>1596</v>
      </c>
    </row>
    <row r="596" spans="1:44" ht="12.75" customHeight="1">
      <c r="A596" s="4">
        <f>DATE(87,4,11)</f>
        <v>31878</v>
      </c>
      <c r="B596" s="2" t="s">
        <v>237</v>
      </c>
      <c r="C596" s="2" t="s">
        <v>391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2</v>
      </c>
      <c r="K596" s="18">
        <v>0</v>
      </c>
      <c r="T596" s="3">
        <v>2</v>
      </c>
      <c r="U596" s="3">
        <v>8</v>
      </c>
      <c r="V596" s="3">
        <v>1</v>
      </c>
      <c r="X596" s="2" t="s">
        <v>1566</v>
      </c>
      <c r="Y596" s="18">
        <v>3</v>
      </c>
      <c r="Z596" s="18">
        <v>0</v>
      </c>
      <c r="AA596" s="18">
        <v>0</v>
      </c>
      <c r="AB596" s="18">
        <v>0</v>
      </c>
      <c r="AC596" s="18">
        <v>1</v>
      </c>
      <c r="AD596" s="18">
        <v>0</v>
      </c>
      <c r="AE596" s="18" t="s">
        <v>162</v>
      </c>
      <c r="AN596" s="3">
        <v>4</v>
      </c>
      <c r="AO596" s="3">
        <v>6</v>
      </c>
      <c r="AP596" s="3">
        <v>1</v>
      </c>
      <c r="AR596" s="2" t="s">
        <v>1567</v>
      </c>
    </row>
    <row r="597" spans="1:44" ht="12.75" customHeight="1">
      <c r="A597" s="4">
        <f>DATE(89,5,13)</f>
        <v>32641</v>
      </c>
      <c r="C597" s="2" t="s">
        <v>391</v>
      </c>
      <c r="E597" s="18">
        <v>0</v>
      </c>
      <c r="F597" s="18">
        <v>0</v>
      </c>
      <c r="G597" s="18">
        <v>3</v>
      </c>
      <c r="H597" s="18">
        <v>1</v>
      </c>
      <c r="I597" s="18">
        <v>0</v>
      </c>
      <c r="J597" s="18">
        <v>0</v>
      </c>
      <c r="K597" s="18" t="s">
        <v>162</v>
      </c>
      <c r="T597" s="3">
        <v>4</v>
      </c>
      <c r="U597" s="3">
        <v>9</v>
      </c>
      <c r="V597" s="3">
        <v>2</v>
      </c>
      <c r="X597" s="2" t="s">
        <v>1636</v>
      </c>
      <c r="Y597" s="18">
        <v>0</v>
      </c>
      <c r="Z597" s="18">
        <v>0</v>
      </c>
      <c r="AA597" s="18">
        <v>1</v>
      </c>
      <c r="AB597" s="18">
        <v>0</v>
      </c>
      <c r="AC597" s="18">
        <v>2</v>
      </c>
      <c r="AD597" s="18">
        <v>0</v>
      </c>
      <c r="AE597" s="18">
        <v>0</v>
      </c>
      <c r="AN597" s="3">
        <v>3</v>
      </c>
      <c r="AO597" s="3">
        <v>3</v>
      </c>
      <c r="AP597" s="3">
        <v>0</v>
      </c>
      <c r="AR597" s="2" t="s">
        <v>1655</v>
      </c>
    </row>
    <row r="598" spans="1:44" ht="12.75" customHeight="1">
      <c r="A598" s="5">
        <v>42105</v>
      </c>
      <c r="B598" s="2" t="s">
        <v>239</v>
      </c>
      <c r="C598" s="2" t="s">
        <v>391</v>
      </c>
      <c r="D598" s="2" t="s">
        <v>1743</v>
      </c>
      <c r="E598" s="18">
        <v>0</v>
      </c>
      <c r="F598" s="18">
        <v>2</v>
      </c>
      <c r="G598" s="18">
        <v>1</v>
      </c>
      <c r="H598" s="18">
        <v>0</v>
      </c>
      <c r="I598" s="18">
        <v>0</v>
      </c>
      <c r="J598" s="18">
        <v>4</v>
      </c>
      <c r="K598" s="18">
        <v>0</v>
      </c>
      <c r="T598" s="3">
        <f>SUM(E598:S598)</f>
        <v>7</v>
      </c>
      <c r="U598" s="3">
        <v>5</v>
      </c>
      <c r="V598" s="3">
        <v>0</v>
      </c>
      <c r="X598" s="2" t="s">
        <v>2115</v>
      </c>
      <c r="Y598" s="18">
        <v>0</v>
      </c>
      <c r="Z598" s="18">
        <v>0</v>
      </c>
      <c r="AA598" s="18">
        <v>1</v>
      </c>
      <c r="AB598" s="18">
        <v>0</v>
      </c>
      <c r="AC598" s="18">
        <v>2</v>
      </c>
      <c r="AD598" s="18">
        <v>0</v>
      </c>
      <c r="AE598" s="18">
        <v>0</v>
      </c>
      <c r="AN598" s="3">
        <f>SUM(Y598:AM598)</f>
        <v>3</v>
      </c>
      <c r="AO598" s="3">
        <v>5</v>
      </c>
      <c r="AP598" s="3">
        <v>2</v>
      </c>
      <c r="AR598" s="2" t="s">
        <v>2122</v>
      </c>
    </row>
    <row r="599" spans="1:44" ht="12.75" customHeight="1">
      <c r="A599" s="4">
        <f>DATE(84,3,30)</f>
        <v>30771</v>
      </c>
      <c r="B599" s="2" t="s">
        <v>239</v>
      </c>
      <c r="C599" s="2" t="s">
        <v>1444</v>
      </c>
      <c r="E599" s="18">
        <v>0</v>
      </c>
      <c r="F599" s="18">
        <v>3</v>
      </c>
      <c r="G599" s="18">
        <v>3</v>
      </c>
      <c r="H599" s="18">
        <v>0</v>
      </c>
      <c r="I599" s="18">
        <v>1</v>
      </c>
      <c r="J599" s="18">
        <v>0</v>
      </c>
      <c r="K599" s="18">
        <v>5</v>
      </c>
      <c r="T599" s="3">
        <v>12</v>
      </c>
      <c r="U599" s="3">
        <v>7</v>
      </c>
      <c r="V599" s="3">
        <v>5</v>
      </c>
      <c r="X599" s="2" t="s">
        <v>1399</v>
      </c>
      <c r="Y599" s="18">
        <v>1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  <c r="AE599" s="18">
        <v>1</v>
      </c>
      <c r="AN599" s="3">
        <v>2</v>
      </c>
      <c r="AO599" s="3">
        <v>5</v>
      </c>
      <c r="AP599" s="3">
        <v>3</v>
      </c>
      <c r="AR599" s="2" t="s">
        <v>1445</v>
      </c>
    </row>
    <row r="600" spans="1:44" ht="12.75" customHeight="1">
      <c r="A600" s="4">
        <f>DATE(66,4,21)</f>
        <v>24218</v>
      </c>
      <c r="B600" s="2" t="s">
        <v>152</v>
      </c>
      <c r="C600" s="2" t="s">
        <v>241</v>
      </c>
      <c r="E600" s="18">
        <v>4</v>
      </c>
      <c r="F600" s="18">
        <v>5</v>
      </c>
      <c r="G600" s="18">
        <v>0</v>
      </c>
      <c r="H600" s="18">
        <v>1</v>
      </c>
      <c r="I600" s="18">
        <v>4</v>
      </c>
      <c r="T600" s="3">
        <v>14</v>
      </c>
      <c r="U600" s="3">
        <v>15</v>
      </c>
      <c r="V600" s="3">
        <v>1</v>
      </c>
      <c r="X600" s="2" t="s">
        <v>850</v>
      </c>
      <c r="Y600" s="18">
        <v>0</v>
      </c>
      <c r="Z600" s="18">
        <v>2</v>
      </c>
      <c r="AA600" s="18">
        <v>1</v>
      </c>
      <c r="AB600" s="18">
        <v>0</v>
      </c>
      <c r="AC600" s="18">
        <v>0</v>
      </c>
      <c r="AN600" s="3">
        <v>3</v>
      </c>
      <c r="AO600" s="3">
        <v>9</v>
      </c>
      <c r="AP600" s="3">
        <v>6</v>
      </c>
      <c r="AR600" s="2" t="s">
        <v>858</v>
      </c>
    </row>
    <row r="601" spans="1:44" ht="12.75" customHeight="1">
      <c r="A601" s="4">
        <f>DATE(66,5,16)</f>
        <v>24243</v>
      </c>
      <c r="C601" s="2" t="s">
        <v>241</v>
      </c>
      <c r="E601" s="18">
        <v>1</v>
      </c>
      <c r="F601" s="18">
        <v>4</v>
      </c>
      <c r="G601" s="18">
        <v>3</v>
      </c>
      <c r="H601" s="18">
        <v>2</v>
      </c>
      <c r="I601" s="18">
        <v>0</v>
      </c>
      <c r="J601" s="18">
        <v>0</v>
      </c>
      <c r="K601" s="18" t="s">
        <v>162</v>
      </c>
      <c r="T601" s="3">
        <v>10</v>
      </c>
      <c r="U601" s="3">
        <v>13</v>
      </c>
      <c r="V601" s="3">
        <v>3</v>
      </c>
      <c r="X601" s="2" t="s">
        <v>869</v>
      </c>
      <c r="Y601" s="18">
        <v>0</v>
      </c>
      <c r="Z601" s="18">
        <v>2</v>
      </c>
      <c r="AA601" s="18">
        <v>1</v>
      </c>
      <c r="AB601" s="18">
        <v>0</v>
      </c>
      <c r="AC601" s="18">
        <v>0</v>
      </c>
      <c r="AD601" s="18">
        <v>1</v>
      </c>
      <c r="AE601" s="18">
        <v>0</v>
      </c>
      <c r="AN601" s="3">
        <v>4</v>
      </c>
      <c r="AO601" s="3">
        <v>4</v>
      </c>
      <c r="AP601" s="3">
        <v>4</v>
      </c>
      <c r="AR601" s="2" t="s">
        <v>242</v>
      </c>
    </row>
    <row r="602" spans="1:44" ht="12.75" customHeight="1">
      <c r="A602" s="4">
        <f>DATE(67,4,20)</f>
        <v>24582</v>
      </c>
      <c r="B602" s="2" t="s">
        <v>237</v>
      </c>
      <c r="C602" s="2" t="s">
        <v>241</v>
      </c>
      <c r="E602" s="18">
        <v>0</v>
      </c>
      <c r="F602" s="18">
        <v>0</v>
      </c>
      <c r="G602" s="18">
        <v>0</v>
      </c>
      <c r="H602" s="18">
        <v>0</v>
      </c>
      <c r="I602" s="18">
        <v>4</v>
      </c>
      <c r="J602" s="18">
        <v>3</v>
      </c>
      <c r="K602" s="18">
        <v>0</v>
      </c>
      <c r="T602" s="3">
        <v>7</v>
      </c>
      <c r="U602" s="3">
        <v>5</v>
      </c>
      <c r="V602" s="3">
        <v>2</v>
      </c>
      <c r="X602" s="2" t="s">
        <v>845</v>
      </c>
      <c r="Y602" s="18"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  <c r="AE602" s="18">
        <v>0</v>
      </c>
      <c r="AN602" s="3">
        <v>0</v>
      </c>
      <c r="AO602" s="3">
        <v>4</v>
      </c>
      <c r="AP602" s="3">
        <v>1</v>
      </c>
      <c r="AR602" s="2" t="s">
        <v>881</v>
      </c>
    </row>
    <row r="603" spans="1:44" ht="12.75" customHeight="1">
      <c r="A603" s="4">
        <f>DATE(67,5,24)</f>
        <v>24616</v>
      </c>
      <c r="C603" s="2" t="s">
        <v>241</v>
      </c>
      <c r="E603" s="18">
        <v>2</v>
      </c>
      <c r="F603" s="18">
        <v>1</v>
      </c>
      <c r="G603" s="18">
        <v>1</v>
      </c>
      <c r="H603" s="18">
        <v>1</v>
      </c>
      <c r="I603" s="18">
        <v>0</v>
      </c>
      <c r="J603" s="18">
        <v>1</v>
      </c>
      <c r="K603" s="18" t="s">
        <v>162</v>
      </c>
      <c r="T603" s="3">
        <v>6</v>
      </c>
      <c r="U603" s="3">
        <v>4</v>
      </c>
      <c r="V603" s="3">
        <v>2</v>
      </c>
      <c r="X603" s="2" t="s">
        <v>887</v>
      </c>
      <c r="Y603" s="18">
        <v>0</v>
      </c>
      <c r="Z603" s="18">
        <v>0</v>
      </c>
      <c r="AA603" s="18">
        <v>1</v>
      </c>
      <c r="AB603" s="18">
        <v>0</v>
      </c>
      <c r="AC603" s="18">
        <v>0</v>
      </c>
      <c r="AD603" s="18">
        <v>0</v>
      </c>
      <c r="AE603" s="18">
        <v>0</v>
      </c>
      <c r="AN603" s="3">
        <v>1</v>
      </c>
      <c r="AO603" s="3">
        <v>6</v>
      </c>
      <c r="AP603" s="3">
        <v>0</v>
      </c>
      <c r="AR603" s="2" t="s">
        <v>888</v>
      </c>
    </row>
    <row r="604" spans="1:44" ht="12.75" customHeight="1">
      <c r="A604" s="4">
        <f>DATE(68,4,19)</f>
        <v>24947</v>
      </c>
      <c r="C604" s="2" t="s">
        <v>241</v>
      </c>
      <c r="E604" s="18">
        <v>2</v>
      </c>
      <c r="F604" s="18">
        <v>2</v>
      </c>
      <c r="G604" s="18">
        <v>5</v>
      </c>
      <c r="H604" s="18">
        <v>0</v>
      </c>
      <c r="I604" s="18">
        <v>0</v>
      </c>
      <c r="J604" s="18">
        <v>3</v>
      </c>
      <c r="K604" s="18" t="s">
        <v>162</v>
      </c>
      <c r="T604" s="3">
        <v>12</v>
      </c>
      <c r="U604" s="3">
        <v>13</v>
      </c>
      <c r="V604" s="3">
        <v>1</v>
      </c>
      <c r="X604" s="2" t="s">
        <v>893</v>
      </c>
      <c r="Y604" s="18">
        <v>0</v>
      </c>
      <c r="Z604" s="18">
        <v>0</v>
      </c>
      <c r="AA604" s="18">
        <v>0</v>
      </c>
      <c r="AB604" s="18">
        <v>1</v>
      </c>
      <c r="AC604" s="18">
        <v>0</v>
      </c>
      <c r="AD604" s="18">
        <v>0</v>
      </c>
      <c r="AE604" s="18">
        <v>0</v>
      </c>
      <c r="AN604" s="3">
        <v>1</v>
      </c>
      <c r="AO604" s="3">
        <v>2</v>
      </c>
      <c r="AP604" s="3">
        <v>5</v>
      </c>
      <c r="AR604" s="2" t="s">
        <v>248</v>
      </c>
    </row>
    <row r="605" spans="1:44" ht="12.75" customHeight="1">
      <c r="A605" s="4">
        <f>DATE(69,4,17)</f>
        <v>25310</v>
      </c>
      <c r="C605" s="2" t="s">
        <v>241</v>
      </c>
      <c r="E605" s="18">
        <v>1</v>
      </c>
      <c r="F605" s="18">
        <v>1</v>
      </c>
      <c r="G605" s="18">
        <v>0</v>
      </c>
      <c r="H605" s="18">
        <v>1</v>
      </c>
      <c r="I605" s="18">
        <v>1</v>
      </c>
      <c r="J605" s="18">
        <v>1</v>
      </c>
      <c r="K605" s="18" t="s">
        <v>162</v>
      </c>
      <c r="T605" s="3">
        <v>5</v>
      </c>
      <c r="U605" s="3">
        <v>4</v>
      </c>
      <c r="V605" s="3">
        <v>1</v>
      </c>
      <c r="X605" s="2" t="s">
        <v>893</v>
      </c>
      <c r="Y605" s="18">
        <v>0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N605" s="3">
        <v>0</v>
      </c>
      <c r="AO605" s="3">
        <v>2</v>
      </c>
      <c r="AP605" s="3">
        <v>3</v>
      </c>
      <c r="AR605" s="2" t="s">
        <v>910</v>
      </c>
    </row>
    <row r="606" spans="1:44" ht="12.75" customHeight="1">
      <c r="A606" s="4">
        <f>DATE(69,5,23)</f>
        <v>25346</v>
      </c>
      <c r="B606" s="2" t="s">
        <v>152</v>
      </c>
      <c r="C606" s="2" t="s">
        <v>241</v>
      </c>
      <c r="E606" s="18">
        <v>1</v>
      </c>
      <c r="F606" s="18">
        <v>0</v>
      </c>
      <c r="G606" s="18">
        <v>0</v>
      </c>
      <c r="H606" s="18">
        <v>0</v>
      </c>
      <c r="I606" s="18">
        <v>0</v>
      </c>
      <c r="J606" s="18">
        <v>2</v>
      </c>
      <c r="K606" s="18">
        <v>0</v>
      </c>
      <c r="T606" s="3">
        <v>3</v>
      </c>
      <c r="U606" s="3">
        <v>8</v>
      </c>
      <c r="V606" s="3">
        <v>3</v>
      </c>
      <c r="X606" s="2" t="s">
        <v>902</v>
      </c>
      <c r="Y606" s="18">
        <v>0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  <c r="AE606" s="18">
        <v>0</v>
      </c>
      <c r="AN606" s="3">
        <v>0</v>
      </c>
      <c r="AO606" s="3">
        <v>1</v>
      </c>
      <c r="AP606" s="3">
        <v>2</v>
      </c>
      <c r="AR606" s="2" t="s">
        <v>916</v>
      </c>
    </row>
    <row r="607" spans="1:44" ht="12.75" customHeight="1">
      <c r="A607" s="4">
        <f>DATE(70,4,16)</f>
        <v>25674</v>
      </c>
      <c r="B607" s="2" t="s">
        <v>152</v>
      </c>
      <c r="C607" s="2" t="s">
        <v>241</v>
      </c>
      <c r="E607" s="18">
        <v>1</v>
      </c>
      <c r="F607" s="18">
        <v>5</v>
      </c>
      <c r="G607" s="18">
        <v>2</v>
      </c>
      <c r="H607" s="18">
        <v>1</v>
      </c>
      <c r="I607" s="18">
        <v>3</v>
      </c>
      <c r="J607" s="18">
        <v>0</v>
      </c>
      <c r="K607" s="18">
        <v>0</v>
      </c>
      <c r="T607" s="3">
        <v>12</v>
      </c>
      <c r="U607" s="3">
        <v>13</v>
      </c>
      <c r="V607" s="3">
        <v>2</v>
      </c>
      <c r="X607" s="2" t="s">
        <v>921</v>
      </c>
      <c r="Y607" s="18">
        <v>0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  <c r="AE607" s="18">
        <v>0</v>
      </c>
      <c r="AN607" s="3">
        <v>0</v>
      </c>
      <c r="AO607" s="3">
        <v>4</v>
      </c>
      <c r="AP607" s="3">
        <v>5</v>
      </c>
      <c r="AR607" s="2" t="s">
        <v>922</v>
      </c>
    </row>
    <row r="608" spans="1:44" ht="12.75" customHeight="1">
      <c r="A608" s="4">
        <f>DATE(70,5,7)</f>
        <v>25695</v>
      </c>
      <c r="C608" s="2" t="s">
        <v>241</v>
      </c>
      <c r="E608" s="18">
        <v>1</v>
      </c>
      <c r="F608" s="18">
        <v>0</v>
      </c>
      <c r="G608" s="18">
        <v>4</v>
      </c>
      <c r="H608" s="18">
        <v>0</v>
      </c>
      <c r="I608" s="18">
        <v>0</v>
      </c>
      <c r="J608" s="18">
        <v>0</v>
      </c>
      <c r="K608" s="18">
        <v>0</v>
      </c>
      <c r="T608" s="3">
        <v>5</v>
      </c>
      <c r="U608" s="3">
        <v>6</v>
      </c>
      <c r="V608" s="3">
        <v>0</v>
      </c>
      <c r="X608" s="2" t="s">
        <v>898</v>
      </c>
      <c r="Y608" s="18"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N608" s="3">
        <v>0</v>
      </c>
      <c r="AO608" s="3">
        <v>6</v>
      </c>
      <c r="AP608" s="3">
        <v>0</v>
      </c>
      <c r="AR608" s="2" t="s">
        <v>926</v>
      </c>
    </row>
    <row r="609" spans="1:44" ht="12.75" customHeight="1">
      <c r="A609" s="4">
        <f>DATE(71,4,16)</f>
        <v>26039</v>
      </c>
      <c r="C609" s="2" t="s">
        <v>241</v>
      </c>
      <c r="E609" s="18">
        <v>0</v>
      </c>
      <c r="F609" s="18">
        <v>0</v>
      </c>
      <c r="G609" s="18">
        <v>1</v>
      </c>
      <c r="H609" s="18">
        <v>0</v>
      </c>
      <c r="I609" s="18">
        <v>2</v>
      </c>
      <c r="J609" s="18">
        <v>0</v>
      </c>
      <c r="K609" s="18">
        <v>0</v>
      </c>
      <c r="L609" s="18">
        <v>1</v>
      </c>
      <c r="T609" s="3">
        <v>4</v>
      </c>
      <c r="U609" s="3">
        <v>4</v>
      </c>
      <c r="V609" s="3">
        <v>4</v>
      </c>
      <c r="X609" s="2" t="s">
        <v>939</v>
      </c>
      <c r="Y609" s="18">
        <v>0</v>
      </c>
      <c r="Z609" s="18">
        <v>0</v>
      </c>
      <c r="AA609" s="18">
        <v>3</v>
      </c>
      <c r="AB609" s="18">
        <v>0</v>
      </c>
      <c r="AC609" s="18">
        <v>0</v>
      </c>
      <c r="AD609" s="18">
        <v>0</v>
      </c>
      <c r="AE609" s="18">
        <v>0</v>
      </c>
      <c r="AF609" s="18">
        <v>0</v>
      </c>
      <c r="AN609" s="3">
        <v>3</v>
      </c>
      <c r="AO609" s="3">
        <v>5</v>
      </c>
      <c r="AP609" s="3">
        <v>2</v>
      </c>
      <c r="AR609" s="2" t="s">
        <v>940</v>
      </c>
    </row>
    <row r="610" spans="1:44" ht="12.75" customHeight="1">
      <c r="A610" s="4">
        <f>DATE(71,5,25)</f>
        <v>26078</v>
      </c>
      <c r="B610" s="2" t="s">
        <v>152</v>
      </c>
      <c r="C610" s="2" t="s">
        <v>241</v>
      </c>
      <c r="E610" s="18">
        <v>0</v>
      </c>
      <c r="F610" s="18">
        <v>0</v>
      </c>
      <c r="G610" s="18">
        <v>2</v>
      </c>
      <c r="H610" s="18">
        <v>0</v>
      </c>
      <c r="I610" s="18">
        <v>0</v>
      </c>
      <c r="J610" s="18">
        <v>0</v>
      </c>
      <c r="K610" s="18">
        <v>0</v>
      </c>
      <c r="T610" s="3">
        <v>2</v>
      </c>
      <c r="U610" s="3">
        <v>6</v>
      </c>
      <c r="V610" s="3">
        <v>4</v>
      </c>
      <c r="X610" s="2" t="s">
        <v>962</v>
      </c>
      <c r="Y610" s="18">
        <v>1</v>
      </c>
      <c r="Z610" s="18">
        <v>0</v>
      </c>
      <c r="AA610" s="18">
        <v>2</v>
      </c>
      <c r="AB610" s="18">
        <v>0</v>
      </c>
      <c r="AC610" s="18">
        <v>0</v>
      </c>
      <c r="AD610" s="18">
        <v>3</v>
      </c>
      <c r="AE610" s="18" t="s">
        <v>162</v>
      </c>
      <c r="AN610" s="3">
        <v>6</v>
      </c>
      <c r="AO610" s="3">
        <v>8</v>
      </c>
      <c r="AP610" s="3">
        <v>2</v>
      </c>
      <c r="AR610" s="2" t="s">
        <v>963</v>
      </c>
    </row>
    <row r="611" spans="1:44" ht="12.75" customHeight="1">
      <c r="A611" s="4">
        <f>DATE(72,5,25)</f>
        <v>26444</v>
      </c>
      <c r="B611" s="2" t="s">
        <v>239</v>
      </c>
      <c r="C611" s="2" t="s">
        <v>241</v>
      </c>
      <c r="D611" s="2" t="s">
        <v>243</v>
      </c>
      <c r="E611" s="18">
        <v>4</v>
      </c>
      <c r="F611" s="18">
        <v>1</v>
      </c>
      <c r="G611" s="18">
        <v>0</v>
      </c>
      <c r="H611" s="18">
        <v>0</v>
      </c>
      <c r="I611" s="18">
        <v>0</v>
      </c>
      <c r="J611" s="18">
        <v>2</v>
      </c>
      <c r="K611" s="18" t="s">
        <v>162</v>
      </c>
      <c r="T611" s="3">
        <v>7</v>
      </c>
      <c r="U611" s="3">
        <v>5</v>
      </c>
      <c r="V611" s="3">
        <v>0</v>
      </c>
      <c r="X611" s="2" t="s">
        <v>941</v>
      </c>
      <c r="Y611" s="18">
        <v>1</v>
      </c>
      <c r="Z611" s="18">
        <v>0</v>
      </c>
      <c r="AA611" s="18">
        <v>0</v>
      </c>
      <c r="AB611" s="18">
        <v>1</v>
      </c>
      <c r="AC611" s="18">
        <v>0</v>
      </c>
      <c r="AD611" s="18">
        <v>0</v>
      </c>
      <c r="AE611" s="18">
        <v>0</v>
      </c>
      <c r="AN611" s="3">
        <v>2</v>
      </c>
      <c r="AO611" s="3">
        <v>2</v>
      </c>
      <c r="AP611" s="3">
        <v>8</v>
      </c>
      <c r="AR611" s="2" t="s">
        <v>987</v>
      </c>
    </row>
    <row r="612" spans="1:44" ht="12.75" customHeight="1">
      <c r="A612" s="4">
        <f>DATE(87,6,2)</f>
        <v>31930</v>
      </c>
      <c r="B612" s="2" t="s">
        <v>239</v>
      </c>
      <c r="C612" s="2" t="s">
        <v>126</v>
      </c>
      <c r="D612" s="2" t="s">
        <v>260</v>
      </c>
      <c r="E612" s="18">
        <v>0</v>
      </c>
      <c r="F612" s="18">
        <v>0</v>
      </c>
      <c r="G612" s="18">
        <v>0</v>
      </c>
      <c r="H612" s="18">
        <v>5</v>
      </c>
      <c r="I612" s="18">
        <v>4</v>
      </c>
      <c r="J612" s="18" t="s">
        <v>162</v>
      </c>
      <c r="T612" s="3">
        <v>9</v>
      </c>
      <c r="U612" s="3">
        <v>9</v>
      </c>
      <c r="V612" s="3">
        <v>1</v>
      </c>
      <c r="X612" s="2" t="s">
        <v>1589</v>
      </c>
      <c r="Y612" s="18">
        <v>0</v>
      </c>
      <c r="Z612" s="18">
        <v>0</v>
      </c>
      <c r="AA612" s="18">
        <v>0</v>
      </c>
      <c r="AB612" s="18">
        <v>0</v>
      </c>
      <c r="AC612" s="18">
        <v>1</v>
      </c>
      <c r="AD612" s="18">
        <v>0</v>
      </c>
      <c r="AN612" s="3">
        <v>1</v>
      </c>
      <c r="AO612" s="3">
        <v>3</v>
      </c>
      <c r="AP612" s="3">
        <v>3</v>
      </c>
      <c r="AR612" s="2" t="s">
        <v>1590</v>
      </c>
    </row>
    <row r="613" spans="1:44" ht="12.75" customHeight="1">
      <c r="A613" s="4">
        <f>DATE(70,4,15)</f>
        <v>25673</v>
      </c>
      <c r="B613" s="2" t="s">
        <v>152</v>
      </c>
      <c r="C613" s="2" t="s">
        <v>249</v>
      </c>
      <c r="E613" s="18">
        <v>3</v>
      </c>
      <c r="F613" s="18">
        <v>0</v>
      </c>
      <c r="G613" s="18">
        <v>1</v>
      </c>
      <c r="H613" s="18">
        <v>5</v>
      </c>
      <c r="I613" s="18">
        <v>3</v>
      </c>
      <c r="J613" s="18">
        <v>4</v>
      </c>
      <c r="K613" s="18">
        <v>0</v>
      </c>
      <c r="T613" s="3">
        <v>16</v>
      </c>
      <c r="U613" s="3">
        <v>13</v>
      </c>
      <c r="V613" s="3">
        <v>1</v>
      </c>
      <c r="X613" s="2" t="s">
        <v>919</v>
      </c>
      <c r="Y613" s="18">
        <v>0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  <c r="AE613" s="18">
        <v>0</v>
      </c>
      <c r="AN613" s="3">
        <v>0</v>
      </c>
      <c r="AO613" s="3">
        <v>0</v>
      </c>
      <c r="AP613" s="3">
        <v>10</v>
      </c>
      <c r="AR613" s="2" t="s">
        <v>920</v>
      </c>
    </row>
    <row r="614" spans="1:44" ht="12.75" customHeight="1">
      <c r="A614" s="4">
        <f>DATE(70,5,5)</f>
        <v>25693</v>
      </c>
      <c r="C614" s="2" t="s">
        <v>249</v>
      </c>
      <c r="E614" s="18">
        <v>4</v>
      </c>
      <c r="F614" s="18">
        <v>1</v>
      </c>
      <c r="G614" s="18">
        <v>5</v>
      </c>
      <c r="H614" s="18">
        <v>2</v>
      </c>
      <c r="I614" s="18">
        <v>2</v>
      </c>
      <c r="J614" s="18">
        <v>6</v>
      </c>
      <c r="K614" s="18" t="s">
        <v>162</v>
      </c>
      <c r="T614" s="3">
        <v>20</v>
      </c>
      <c r="U614" s="3">
        <v>14</v>
      </c>
      <c r="V614" s="3">
        <v>3</v>
      </c>
      <c r="X614" s="2" t="s">
        <v>924</v>
      </c>
      <c r="Y614" s="18">
        <v>0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  <c r="AE614" s="18">
        <v>1</v>
      </c>
      <c r="AN614" s="3">
        <v>1</v>
      </c>
      <c r="AO614" s="3">
        <v>3</v>
      </c>
      <c r="AP614" s="3">
        <v>9</v>
      </c>
      <c r="AR614" s="2" t="s">
        <v>925</v>
      </c>
    </row>
    <row r="615" spans="1:44" ht="12.75" customHeight="1">
      <c r="A615" s="4">
        <f>DATE(71,4,13)</f>
        <v>26036</v>
      </c>
      <c r="C615" s="2" t="s">
        <v>249</v>
      </c>
      <c r="E615" s="18">
        <v>3</v>
      </c>
      <c r="F615" s="18">
        <v>0</v>
      </c>
      <c r="G615" s="18">
        <v>3</v>
      </c>
      <c r="H615" s="18">
        <v>0</v>
      </c>
      <c r="I615" s="18">
        <v>0</v>
      </c>
      <c r="J615" s="18">
        <v>0</v>
      </c>
      <c r="K615" s="18" t="s">
        <v>162</v>
      </c>
      <c r="T615" s="3">
        <v>6</v>
      </c>
      <c r="U615" s="3">
        <v>5</v>
      </c>
      <c r="V615" s="3">
        <v>5</v>
      </c>
      <c r="X615" s="2" t="s">
        <v>937</v>
      </c>
      <c r="Y615" s="18">
        <v>0</v>
      </c>
      <c r="Z615" s="18">
        <v>3</v>
      </c>
      <c r="AA615" s="18">
        <v>0</v>
      </c>
      <c r="AB615" s="18">
        <v>0</v>
      </c>
      <c r="AC615" s="18">
        <v>0</v>
      </c>
      <c r="AD615" s="18">
        <v>0</v>
      </c>
      <c r="AE615" s="18">
        <v>0</v>
      </c>
      <c r="AN615" s="3">
        <v>3</v>
      </c>
      <c r="AO615" s="3">
        <v>3</v>
      </c>
      <c r="AP615" s="3">
        <v>3</v>
      </c>
      <c r="AR615" s="2" t="s">
        <v>938</v>
      </c>
    </row>
    <row r="616" spans="1:44" ht="12.75" customHeight="1">
      <c r="A616" s="4">
        <f>DATE(71,5,4)</f>
        <v>26057</v>
      </c>
      <c r="B616" s="2" t="s">
        <v>152</v>
      </c>
      <c r="C616" s="2" t="s">
        <v>249</v>
      </c>
      <c r="E616" s="18">
        <v>5</v>
      </c>
      <c r="F616" s="18">
        <v>0</v>
      </c>
      <c r="G616" s="18">
        <v>4</v>
      </c>
      <c r="H616" s="18">
        <v>0</v>
      </c>
      <c r="I616" s="18">
        <v>0</v>
      </c>
      <c r="J616" s="18">
        <v>0</v>
      </c>
      <c r="K616" s="18">
        <v>0</v>
      </c>
      <c r="T616" s="3">
        <v>9</v>
      </c>
      <c r="U616" s="3">
        <v>9</v>
      </c>
      <c r="V616" s="3">
        <v>2</v>
      </c>
      <c r="X616" s="2" t="s">
        <v>954</v>
      </c>
      <c r="Y616" s="18">
        <v>0</v>
      </c>
      <c r="Z616" s="18">
        <v>0</v>
      </c>
      <c r="AA616" s="18">
        <v>0</v>
      </c>
      <c r="AB616" s="18">
        <v>0</v>
      </c>
      <c r="AC616" s="18">
        <v>1</v>
      </c>
      <c r="AD616" s="18">
        <v>2</v>
      </c>
      <c r="AE616" s="18">
        <v>0</v>
      </c>
      <c r="AN616" s="3">
        <v>3</v>
      </c>
      <c r="AO616" s="3">
        <v>2</v>
      </c>
      <c r="AP616" s="3">
        <v>3</v>
      </c>
      <c r="AR616" s="2" t="s">
        <v>955</v>
      </c>
    </row>
    <row r="617" spans="1:44" ht="12.75" customHeight="1">
      <c r="A617" s="4">
        <f>DATE(86,3,26)</f>
        <v>31497</v>
      </c>
      <c r="B617" s="2" t="s">
        <v>152</v>
      </c>
      <c r="C617" s="2" t="s">
        <v>1515</v>
      </c>
      <c r="E617" s="18">
        <v>3</v>
      </c>
      <c r="F617" s="18">
        <v>0</v>
      </c>
      <c r="G617" s="18">
        <v>2</v>
      </c>
      <c r="H617" s="18">
        <v>1</v>
      </c>
      <c r="I617" s="18">
        <v>0</v>
      </c>
      <c r="J617" s="18">
        <v>3</v>
      </c>
      <c r="K617" s="18">
        <v>1</v>
      </c>
      <c r="T617" s="3">
        <v>10</v>
      </c>
      <c r="U617" s="3">
        <v>11</v>
      </c>
      <c r="V617" s="3">
        <v>3</v>
      </c>
      <c r="X617" s="2" t="s">
        <v>1516</v>
      </c>
      <c r="Y617" s="18">
        <v>1</v>
      </c>
      <c r="Z617" s="18">
        <v>0</v>
      </c>
      <c r="AA617" s="18">
        <v>1</v>
      </c>
      <c r="AB617" s="18">
        <v>0</v>
      </c>
      <c r="AC617" s="18">
        <v>0</v>
      </c>
      <c r="AD617" s="18">
        <v>0</v>
      </c>
      <c r="AE617" s="18">
        <v>0</v>
      </c>
      <c r="AN617" s="3">
        <v>2</v>
      </c>
      <c r="AO617" s="3">
        <v>4</v>
      </c>
      <c r="AP617" s="3">
        <v>3</v>
      </c>
      <c r="AR617" s="2" t="s">
        <v>1517</v>
      </c>
    </row>
    <row r="618" spans="1:44" ht="12.75" customHeight="1">
      <c r="A618" s="4">
        <f>DATE(80,4,5)</f>
        <v>29316</v>
      </c>
      <c r="B618" s="2" t="s">
        <v>152</v>
      </c>
      <c r="C618" s="2" t="s">
        <v>1244</v>
      </c>
      <c r="E618" s="18">
        <v>1</v>
      </c>
      <c r="F618" s="18">
        <v>4</v>
      </c>
      <c r="G618" s="18">
        <v>0</v>
      </c>
      <c r="H618" s="18">
        <v>4</v>
      </c>
      <c r="I618" s="18">
        <v>4</v>
      </c>
      <c r="J618" s="18">
        <v>3</v>
      </c>
      <c r="K618" s="18">
        <v>3</v>
      </c>
      <c r="T618" s="3">
        <v>19</v>
      </c>
      <c r="U618" s="3">
        <v>14</v>
      </c>
      <c r="V618" s="3">
        <v>3</v>
      </c>
      <c r="X618" s="2" t="s">
        <v>1245</v>
      </c>
      <c r="Y618" s="18">
        <v>0</v>
      </c>
      <c r="Z618" s="18">
        <v>0</v>
      </c>
      <c r="AA618" s="18">
        <v>1</v>
      </c>
      <c r="AB618" s="18">
        <v>0</v>
      </c>
      <c r="AC618" s="18">
        <v>3</v>
      </c>
      <c r="AD618" s="18">
        <v>3</v>
      </c>
      <c r="AE618" s="18">
        <v>3</v>
      </c>
      <c r="AN618" s="3">
        <v>10</v>
      </c>
      <c r="AO618" s="3">
        <v>9</v>
      </c>
      <c r="AP618" s="3">
        <v>6</v>
      </c>
      <c r="AR618" s="2" t="s">
        <v>288</v>
      </c>
    </row>
    <row r="619" spans="1:44" ht="12.75" customHeight="1">
      <c r="A619" s="4">
        <f>DATE(80,5,10)</f>
        <v>29351</v>
      </c>
      <c r="C619" s="2" t="s">
        <v>290</v>
      </c>
      <c r="E619" s="18">
        <v>1</v>
      </c>
      <c r="F619" s="18">
        <v>0</v>
      </c>
      <c r="G619" s="18">
        <v>0</v>
      </c>
      <c r="H619" s="18">
        <v>0</v>
      </c>
      <c r="I619" s="18">
        <v>1</v>
      </c>
      <c r="J619" s="18">
        <v>0</v>
      </c>
      <c r="K619" s="18">
        <v>1</v>
      </c>
      <c r="T619" s="3">
        <v>3</v>
      </c>
      <c r="U619" s="3">
        <v>5</v>
      </c>
      <c r="V619" s="3">
        <v>4</v>
      </c>
      <c r="X619" s="2" t="s">
        <v>1256</v>
      </c>
      <c r="Y619" s="18">
        <v>0</v>
      </c>
      <c r="Z619" s="18">
        <v>0</v>
      </c>
      <c r="AA619" s="18">
        <v>0</v>
      </c>
      <c r="AB619" s="18">
        <v>0</v>
      </c>
      <c r="AC619" s="18">
        <v>2</v>
      </c>
      <c r="AD619" s="18">
        <v>0</v>
      </c>
      <c r="AE619" s="18">
        <v>0</v>
      </c>
      <c r="AN619" s="3">
        <v>2</v>
      </c>
      <c r="AO619" s="3">
        <v>4</v>
      </c>
      <c r="AP619" s="3">
        <v>0</v>
      </c>
      <c r="AR619" s="2" t="s">
        <v>291</v>
      </c>
    </row>
    <row r="620" spans="1:44" ht="12.75" customHeight="1">
      <c r="A620" s="5">
        <v>36257</v>
      </c>
      <c r="C620" s="2" t="s">
        <v>290</v>
      </c>
      <c r="E620" s="18">
        <v>0</v>
      </c>
      <c r="F620" s="18">
        <v>0</v>
      </c>
      <c r="G620" s="18">
        <v>1</v>
      </c>
      <c r="H620" s="18">
        <v>2</v>
      </c>
      <c r="I620" s="18">
        <v>0</v>
      </c>
      <c r="J620" s="18">
        <v>4</v>
      </c>
      <c r="K620" s="18" t="s">
        <v>162</v>
      </c>
      <c r="T620" s="3">
        <f aca="true" t="shared" si="22" ref="T620:T631">SUM(E620:S620)</f>
        <v>7</v>
      </c>
      <c r="U620" s="3">
        <v>9</v>
      </c>
      <c r="V620" s="3">
        <v>1</v>
      </c>
      <c r="X620" s="2" t="s">
        <v>502</v>
      </c>
      <c r="Y620" s="18">
        <v>2</v>
      </c>
      <c r="Z620" s="18">
        <v>0</v>
      </c>
      <c r="AA620" s="18">
        <v>0</v>
      </c>
      <c r="AB620" s="18">
        <v>1</v>
      </c>
      <c r="AC620" s="18">
        <v>0</v>
      </c>
      <c r="AD620" s="18">
        <v>0</v>
      </c>
      <c r="AE620" s="18">
        <v>3</v>
      </c>
      <c r="AN620" s="3">
        <f aca="true" t="shared" si="23" ref="AN620:AN631">SUM(Y620:AM620)</f>
        <v>6</v>
      </c>
      <c r="AO620" s="3">
        <v>10</v>
      </c>
      <c r="AP620" s="3">
        <v>1</v>
      </c>
      <c r="AR620" s="2" t="s">
        <v>2401</v>
      </c>
    </row>
    <row r="621" spans="1:44" ht="12.75" customHeight="1">
      <c r="A621" s="4">
        <v>36623</v>
      </c>
      <c r="B621" s="2" t="s">
        <v>152</v>
      </c>
      <c r="C621" s="2" t="s">
        <v>290</v>
      </c>
      <c r="E621" s="18">
        <v>0</v>
      </c>
      <c r="F621" s="18">
        <v>0</v>
      </c>
      <c r="G621" s="18">
        <v>0</v>
      </c>
      <c r="H621" s="18">
        <v>1</v>
      </c>
      <c r="I621" s="18">
        <v>0</v>
      </c>
      <c r="J621" s="18">
        <v>0</v>
      </c>
      <c r="K621" s="18">
        <v>0</v>
      </c>
      <c r="T621" s="3">
        <f t="shared" si="22"/>
        <v>1</v>
      </c>
      <c r="U621" s="3">
        <v>1</v>
      </c>
      <c r="V621" s="3">
        <v>2</v>
      </c>
      <c r="X621" s="2" t="s">
        <v>1908</v>
      </c>
      <c r="Y621" s="18">
        <v>0</v>
      </c>
      <c r="Z621" s="18">
        <v>0</v>
      </c>
      <c r="AA621" s="18">
        <v>1</v>
      </c>
      <c r="AB621" s="18">
        <v>0</v>
      </c>
      <c r="AC621" s="18">
        <v>2</v>
      </c>
      <c r="AD621" s="18">
        <v>3</v>
      </c>
      <c r="AE621" s="18" t="s">
        <v>162</v>
      </c>
      <c r="AN621" s="3">
        <f t="shared" si="23"/>
        <v>6</v>
      </c>
      <c r="AO621" s="3">
        <v>8</v>
      </c>
      <c r="AP621" s="3">
        <v>2</v>
      </c>
      <c r="AR621" s="2" t="s">
        <v>1917</v>
      </c>
    </row>
    <row r="622" spans="1:44" ht="12.75" customHeight="1">
      <c r="A622" s="5">
        <v>36985</v>
      </c>
      <c r="C622" s="2" t="s">
        <v>290</v>
      </c>
      <c r="E622" s="18">
        <v>7</v>
      </c>
      <c r="F622" s="18">
        <v>0</v>
      </c>
      <c r="G622" s="18">
        <v>0</v>
      </c>
      <c r="H622" s="18">
        <v>4</v>
      </c>
      <c r="I622" s="18" t="s">
        <v>162</v>
      </c>
      <c r="T622" s="3">
        <f t="shared" si="22"/>
        <v>11</v>
      </c>
      <c r="U622" s="3">
        <v>10</v>
      </c>
      <c r="V622" s="3">
        <v>5</v>
      </c>
      <c r="X622" s="2" t="s">
        <v>97</v>
      </c>
      <c r="Y622" s="18">
        <v>1</v>
      </c>
      <c r="Z622" s="18">
        <v>0</v>
      </c>
      <c r="AA622" s="18">
        <v>0</v>
      </c>
      <c r="AB622" s="18">
        <v>0</v>
      </c>
      <c r="AC622" s="18">
        <v>0</v>
      </c>
      <c r="AN622" s="3">
        <f t="shared" si="23"/>
        <v>1</v>
      </c>
      <c r="AO622" s="3">
        <v>1</v>
      </c>
      <c r="AP622" s="3">
        <v>2</v>
      </c>
      <c r="AR622" s="2" t="s">
        <v>98</v>
      </c>
    </row>
    <row r="623" spans="1:44" ht="12.75" customHeight="1">
      <c r="A623" s="8">
        <v>37348</v>
      </c>
      <c r="B623" s="2" t="s">
        <v>152</v>
      </c>
      <c r="C623" s="2" t="s">
        <v>290</v>
      </c>
      <c r="E623" s="18">
        <v>1</v>
      </c>
      <c r="F623" s="18">
        <v>0</v>
      </c>
      <c r="G623" s="18">
        <v>0</v>
      </c>
      <c r="H623" s="18">
        <v>0</v>
      </c>
      <c r="I623" s="18">
        <v>5</v>
      </c>
      <c r="J623" s="18">
        <v>0</v>
      </c>
      <c r="K623" s="18">
        <v>4</v>
      </c>
      <c r="T623" s="3">
        <f t="shared" si="22"/>
        <v>10</v>
      </c>
      <c r="U623" s="3">
        <v>8</v>
      </c>
      <c r="V623" s="3">
        <v>8</v>
      </c>
      <c r="X623" s="2" t="s">
        <v>1420</v>
      </c>
      <c r="Y623" s="18">
        <v>4</v>
      </c>
      <c r="Z623" s="18">
        <v>1</v>
      </c>
      <c r="AA623" s="18">
        <v>0</v>
      </c>
      <c r="AB623" s="18">
        <v>0</v>
      </c>
      <c r="AC623" s="18">
        <v>2</v>
      </c>
      <c r="AD623" s="18">
        <v>1</v>
      </c>
      <c r="AE623" s="18">
        <v>0</v>
      </c>
      <c r="AN623" s="3">
        <f t="shared" si="23"/>
        <v>8</v>
      </c>
      <c r="AO623" s="3">
        <v>7</v>
      </c>
      <c r="AP623" s="3">
        <v>3</v>
      </c>
      <c r="AR623" s="2" t="s">
        <v>1425</v>
      </c>
    </row>
    <row r="624" spans="1:44" ht="12.75" customHeight="1">
      <c r="A624" s="8">
        <v>37707</v>
      </c>
      <c r="C624" s="2" t="s">
        <v>290</v>
      </c>
      <c r="E624" s="18">
        <v>0</v>
      </c>
      <c r="F624" s="18">
        <v>0</v>
      </c>
      <c r="G624" s="18">
        <v>0</v>
      </c>
      <c r="H624" s="18">
        <v>4</v>
      </c>
      <c r="I624" s="18">
        <v>1</v>
      </c>
      <c r="J624" s="18">
        <v>1</v>
      </c>
      <c r="K624" s="18" t="s">
        <v>162</v>
      </c>
      <c r="T624" s="3">
        <f t="shared" si="22"/>
        <v>6</v>
      </c>
      <c r="U624" s="3">
        <v>6</v>
      </c>
      <c r="V624" s="3">
        <v>3</v>
      </c>
      <c r="X624" s="2" t="s">
        <v>101</v>
      </c>
      <c r="Y624" s="18">
        <v>0</v>
      </c>
      <c r="Z624" s="18">
        <v>0</v>
      </c>
      <c r="AA624" s="18">
        <v>0</v>
      </c>
      <c r="AB624" s="18">
        <v>0</v>
      </c>
      <c r="AC624" s="18">
        <v>0</v>
      </c>
      <c r="AD624" s="18">
        <v>2</v>
      </c>
      <c r="AE624" s="18">
        <v>0</v>
      </c>
      <c r="AN624" s="3">
        <f t="shared" si="23"/>
        <v>2</v>
      </c>
      <c r="AO624" s="3">
        <v>3</v>
      </c>
      <c r="AP624" s="3">
        <v>2</v>
      </c>
      <c r="AR624" s="2" t="s">
        <v>566</v>
      </c>
    </row>
    <row r="625" spans="1:44" ht="12.75" customHeight="1">
      <c r="A625" s="5">
        <v>38124</v>
      </c>
      <c r="B625" s="2" t="s">
        <v>152</v>
      </c>
      <c r="C625" s="2" t="s">
        <v>290</v>
      </c>
      <c r="E625" s="18">
        <v>0</v>
      </c>
      <c r="F625" s="18">
        <v>0</v>
      </c>
      <c r="G625" s="18">
        <v>3</v>
      </c>
      <c r="H625" s="18">
        <v>1</v>
      </c>
      <c r="I625" s="18">
        <v>0</v>
      </c>
      <c r="J625" s="18">
        <v>1</v>
      </c>
      <c r="K625" s="18">
        <v>0</v>
      </c>
      <c r="T625" s="3">
        <f t="shared" si="22"/>
        <v>5</v>
      </c>
      <c r="U625" s="3">
        <v>12</v>
      </c>
      <c r="V625" s="3">
        <v>2</v>
      </c>
      <c r="X625" s="2" t="s">
        <v>570</v>
      </c>
      <c r="Y625" s="18">
        <v>0</v>
      </c>
      <c r="Z625" s="18">
        <v>0</v>
      </c>
      <c r="AA625" s="18">
        <v>0</v>
      </c>
      <c r="AB625" s="18">
        <v>1</v>
      </c>
      <c r="AC625" s="18">
        <v>0</v>
      </c>
      <c r="AD625" s="18">
        <v>0</v>
      </c>
      <c r="AE625" s="18">
        <v>1</v>
      </c>
      <c r="AN625" s="3">
        <f t="shared" si="23"/>
        <v>2</v>
      </c>
      <c r="AO625" s="3">
        <v>9</v>
      </c>
      <c r="AP625" s="3">
        <v>1</v>
      </c>
      <c r="AR625" s="2" t="s">
        <v>595</v>
      </c>
    </row>
    <row r="626" spans="1:44" ht="12.75" customHeight="1">
      <c r="A626" s="5">
        <f>DATE(2005,5,9)</f>
        <v>38481</v>
      </c>
      <c r="C626" s="2" t="s">
        <v>290</v>
      </c>
      <c r="E626" s="18">
        <v>1</v>
      </c>
      <c r="F626" s="18">
        <v>0</v>
      </c>
      <c r="G626" s="18">
        <v>0</v>
      </c>
      <c r="H626" s="18">
        <v>0</v>
      </c>
      <c r="I626" s="18">
        <v>0</v>
      </c>
      <c r="J626" s="18">
        <v>1</v>
      </c>
      <c r="K626" s="18">
        <v>1</v>
      </c>
      <c r="T626" s="3">
        <f t="shared" si="22"/>
        <v>3</v>
      </c>
      <c r="U626" s="3">
        <v>4</v>
      </c>
      <c r="V626" s="3">
        <v>5</v>
      </c>
      <c r="X626" s="2" t="s">
        <v>556</v>
      </c>
      <c r="Y626" s="18">
        <v>0</v>
      </c>
      <c r="Z626" s="18">
        <v>3</v>
      </c>
      <c r="AA626" s="18">
        <v>1</v>
      </c>
      <c r="AB626" s="18">
        <v>1</v>
      </c>
      <c r="AC626" s="18">
        <v>1</v>
      </c>
      <c r="AD626" s="18">
        <v>2</v>
      </c>
      <c r="AE626" s="18">
        <v>7</v>
      </c>
      <c r="AN626" s="3">
        <f t="shared" si="23"/>
        <v>15</v>
      </c>
      <c r="AO626" s="3">
        <v>14</v>
      </c>
      <c r="AP626" s="3">
        <v>0</v>
      </c>
      <c r="AR626" s="2" t="s">
        <v>557</v>
      </c>
    </row>
    <row r="627" spans="1:44" ht="12.75" customHeight="1">
      <c r="A627" s="5">
        <v>38860</v>
      </c>
      <c r="B627" s="2" t="s">
        <v>152</v>
      </c>
      <c r="C627" s="2" t="s">
        <v>290</v>
      </c>
      <c r="E627" s="18">
        <v>0</v>
      </c>
      <c r="F627" s="18">
        <v>0</v>
      </c>
      <c r="G627" s="18">
        <v>1</v>
      </c>
      <c r="H627" s="18">
        <v>1</v>
      </c>
      <c r="I627" s="18">
        <v>1</v>
      </c>
      <c r="J627" s="18">
        <v>1</v>
      </c>
      <c r="K627" s="18">
        <v>0</v>
      </c>
      <c r="T627" s="3">
        <f t="shared" si="22"/>
        <v>4</v>
      </c>
      <c r="U627" s="3">
        <v>8</v>
      </c>
      <c r="V627" s="3">
        <v>6</v>
      </c>
      <c r="X627" s="2" t="s">
        <v>2013</v>
      </c>
      <c r="Y627" s="18">
        <v>1</v>
      </c>
      <c r="Z627" s="18">
        <v>0</v>
      </c>
      <c r="AA627" s="18">
        <v>2</v>
      </c>
      <c r="AB627" s="18">
        <v>0</v>
      </c>
      <c r="AC627" s="18">
        <v>0</v>
      </c>
      <c r="AD627" s="18">
        <v>0</v>
      </c>
      <c r="AE627" s="18">
        <v>2</v>
      </c>
      <c r="AN627" s="3">
        <f t="shared" si="23"/>
        <v>5</v>
      </c>
      <c r="AO627" s="3">
        <v>7</v>
      </c>
      <c r="AP627" s="3">
        <v>3</v>
      </c>
      <c r="AR627" s="2" t="s">
        <v>2014</v>
      </c>
    </row>
    <row r="628" spans="1:44" ht="12.75" customHeight="1">
      <c r="A628" s="5">
        <v>39210</v>
      </c>
      <c r="C628" s="2" t="s">
        <v>290</v>
      </c>
      <c r="E628" s="18">
        <v>0</v>
      </c>
      <c r="F628" s="18">
        <v>0</v>
      </c>
      <c r="G628" s="18">
        <v>3</v>
      </c>
      <c r="H628" s="18">
        <v>0</v>
      </c>
      <c r="I628" s="18">
        <v>7</v>
      </c>
      <c r="J628" s="18">
        <v>1</v>
      </c>
      <c r="K628" s="18" t="s">
        <v>162</v>
      </c>
      <c r="T628" s="3">
        <f t="shared" si="22"/>
        <v>11</v>
      </c>
      <c r="U628" s="3">
        <v>12</v>
      </c>
      <c r="V628" s="3">
        <v>2</v>
      </c>
      <c r="X628" s="2" t="s">
        <v>474</v>
      </c>
      <c r="Y628" s="18">
        <v>0</v>
      </c>
      <c r="Z628" s="18">
        <v>0</v>
      </c>
      <c r="AA628" s="18">
        <v>0</v>
      </c>
      <c r="AB628" s="18">
        <v>1</v>
      </c>
      <c r="AC628" s="18">
        <v>0</v>
      </c>
      <c r="AD628" s="18">
        <v>0</v>
      </c>
      <c r="AE628" s="18">
        <v>0</v>
      </c>
      <c r="AN628" s="3">
        <f t="shared" si="23"/>
        <v>1</v>
      </c>
      <c r="AO628" s="3">
        <v>5</v>
      </c>
      <c r="AP628" s="3">
        <v>5</v>
      </c>
      <c r="AR628" s="2" t="s">
        <v>485</v>
      </c>
    </row>
    <row r="629" spans="1:44" ht="12.75" customHeight="1">
      <c r="A629" s="5">
        <v>39563</v>
      </c>
      <c r="B629" s="2" t="s">
        <v>239</v>
      </c>
      <c r="C629" s="2" t="s">
        <v>290</v>
      </c>
      <c r="D629" s="2" t="s">
        <v>1743</v>
      </c>
      <c r="E629" s="18">
        <v>0</v>
      </c>
      <c r="F629" s="18">
        <v>0</v>
      </c>
      <c r="G629" s="18">
        <v>0</v>
      </c>
      <c r="H629" s="18">
        <v>2</v>
      </c>
      <c r="I629" s="18">
        <v>0</v>
      </c>
      <c r="J629" s="18">
        <v>3</v>
      </c>
      <c r="K629" s="18">
        <v>1</v>
      </c>
      <c r="T629" s="3">
        <f t="shared" si="22"/>
        <v>6</v>
      </c>
      <c r="U629" s="3">
        <v>7</v>
      </c>
      <c r="V629" s="3">
        <v>0</v>
      </c>
      <c r="X629" s="2" t="s">
        <v>944</v>
      </c>
      <c r="Y629" s="18">
        <v>1</v>
      </c>
      <c r="Z629" s="18">
        <v>1</v>
      </c>
      <c r="AA629" s="18">
        <v>1</v>
      </c>
      <c r="AB629" s="18">
        <v>0</v>
      </c>
      <c r="AC629" s="18">
        <v>0</v>
      </c>
      <c r="AD629" s="18">
        <v>0</v>
      </c>
      <c r="AE629" s="18">
        <v>0</v>
      </c>
      <c r="AN629" s="3">
        <f t="shared" si="23"/>
        <v>3</v>
      </c>
      <c r="AO629" s="3">
        <v>6</v>
      </c>
      <c r="AP629" s="3">
        <v>3</v>
      </c>
      <c r="AR629" s="2" t="s">
        <v>946</v>
      </c>
    </row>
    <row r="630" spans="1:44" ht="12.75" customHeight="1">
      <c r="A630" s="5">
        <v>39927</v>
      </c>
      <c r="B630" s="2" t="s">
        <v>239</v>
      </c>
      <c r="C630" s="2" t="s">
        <v>290</v>
      </c>
      <c r="D630" s="2" t="s">
        <v>1743</v>
      </c>
      <c r="E630" s="18">
        <v>1</v>
      </c>
      <c r="F630" s="18">
        <v>0</v>
      </c>
      <c r="G630" s="18">
        <v>1</v>
      </c>
      <c r="H630" s="18">
        <v>0</v>
      </c>
      <c r="I630" s="18">
        <v>0</v>
      </c>
      <c r="J630" s="18">
        <v>0</v>
      </c>
      <c r="K630" s="18">
        <v>0</v>
      </c>
      <c r="T630" s="3">
        <f t="shared" si="22"/>
        <v>2</v>
      </c>
      <c r="U630" s="3">
        <v>6</v>
      </c>
      <c r="V630" s="3">
        <v>6</v>
      </c>
      <c r="X630" s="2" t="s">
        <v>1759</v>
      </c>
      <c r="Y630" s="18">
        <v>0</v>
      </c>
      <c r="Z630" s="18">
        <v>1</v>
      </c>
      <c r="AA630" s="18">
        <v>0</v>
      </c>
      <c r="AB630" s="18">
        <v>2</v>
      </c>
      <c r="AC630" s="18">
        <v>0</v>
      </c>
      <c r="AD630" s="18">
        <v>7</v>
      </c>
      <c r="AE630" s="18" t="s">
        <v>162</v>
      </c>
      <c r="AN630" s="3">
        <f t="shared" si="23"/>
        <v>10</v>
      </c>
      <c r="AO630" s="3">
        <v>12</v>
      </c>
      <c r="AP630" s="3">
        <v>2</v>
      </c>
      <c r="AR630" s="2" t="s">
        <v>1760</v>
      </c>
    </row>
    <row r="631" spans="1:44" ht="12.75" customHeight="1">
      <c r="A631" s="5">
        <v>40284</v>
      </c>
      <c r="C631" s="2" t="s">
        <v>290</v>
      </c>
      <c r="D631" s="2" t="s">
        <v>1743</v>
      </c>
      <c r="E631" s="18">
        <v>0</v>
      </c>
      <c r="F631" s="18">
        <v>0</v>
      </c>
      <c r="G631" s="18">
        <v>0</v>
      </c>
      <c r="H631" s="18">
        <v>2</v>
      </c>
      <c r="I631" s="18">
        <v>0</v>
      </c>
      <c r="J631" s="18">
        <v>0</v>
      </c>
      <c r="K631" s="18">
        <v>4</v>
      </c>
      <c r="T631" s="3">
        <f t="shared" si="22"/>
        <v>6</v>
      </c>
      <c r="U631" s="3">
        <v>7</v>
      </c>
      <c r="V631" s="3">
        <v>0</v>
      </c>
      <c r="X631" s="2" t="s">
        <v>863</v>
      </c>
      <c r="Y631" s="18">
        <v>1</v>
      </c>
      <c r="Z631" s="18">
        <v>0</v>
      </c>
      <c r="AA631" s="18">
        <v>0</v>
      </c>
      <c r="AB631" s="18">
        <v>0</v>
      </c>
      <c r="AC631" s="18">
        <v>4</v>
      </c>
      <c r="AD631" s="18">
        <v>0</v>
      </c>
      <c r="AE631" s="18">
        <v>0</v>
      </c>
      <c r="AN631" s="3">
        <f t="shared" si="23"/>
        <v>5</v>
      </c>
      <c r="AO631" s="3">
        <v>8</v>
      </c>
      <c r="AP631" s="3">
        <v>2</v>
      </c>
      <c r="AR631" s="2" t="s">
        <v>769</v>
      </c>
    </row>
    <row r="632" spans="1:44" ht="12.75">
      <c r="A632" s="5">
        <v>44653</v>
      </c>
      <c r="B632" s="2" t="s">
        <v>152</v>
      </c>
      <c r="C632" s="2" t="s">
        <v>290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T632" s="3">
        <v>0</v>
      </c>
      <c r="U632" s="3">
        <v>3</v>
      </c>
      <c r="V632" s="3">
        <v>0</v>
      </c>
      <c r="X632" s="2" t="s">
        <v>2295</v>
      </c>
      <c r="Y632" s="18">
        <v>3</v>
      </c>
      <c r="Z632" s="18">
        <v>0</v>
      </c>
      <c r="AA632" s="18">
        <v>1</v>
      </c>
      <c r="AB632" s="18">
        <v>0</v>
      </c>
      <c r="AC632" s="18">
        <v>0</v>
      </c>
      <c r="AD632" s="18">
        <v>0</v>
      </c>
      <c r="AE632" s="18" t="s">
        <v>162</v>
      </c>
      <c r="AN632" s="3">
        <v>4</v>
      </c>
      <c r="AO632" s="3">
        <v>6</v>
      </c>
      <c r="AP632" s="3">
        <v>2</v>
      </c>
      <c r="AR632" s="2" t="s">
        <v>2336</v>
      </c>
    </row>
    <row r="633" spans="1:44" ht="12.75">
      <c r="A633" s="5">
        <v>44692</v>
      </c>
      <c r="C633" s="2" t="s">
        <v>290</v>
      </c>
      <c r="E633" s="18">
        <v>0</v>
      </c>
      <c r="F633" s="18">
        <v>0</v>
      </c>
      <c r="G633" s="18">
        <v>3</v>
      </c>
      <c r="H633" s="18">
        <v>4</v>
      </c>
      <c r="I633" s="18">
        <v>0</v>
      </c>
      <c r="J633" s="18">
        <v>0</v>
      </c>
      <c r="K633" s="18" t="s">
        <v>162</v>
      </c>
      <c r="T633" s="3">
        <v>7</v>
      </c>
      <c r="U633" s="3">
        <v>11</v>
      </c>
      <c r="V633" s="3">
        <v>2</v>
      </c>
      <c r="X633" s="2" t="s">
        <v>2359</v>
      </c>
      <c r="Y633" s="18">
        <v>0</v>
      </c>
      <c r="Z633" s="18">
        <v>0</v>
      </c>
      <c r="AA633" s="18">
        <v>1</v>
      </c>
      <c r="AB633" s="18">
        <v>0</v>
      </c>
      <c r="AC633" s="18">
        <v>1</v>
      </c>
      <c r="AD633" s="18">
        <v>0</v>
      </c>
      <c r="AE633" s="18">
        <v>2</v>
      </c>
      <c r="AN633" s="3">
        <v>4</v>
      </c>
      <c r="AO633" s="3">
        <v>11</v>
      </c>
      <c r="AP633" s="3">
        <v>1</v>
      </c>
      <c r="AR633" s="2" t="s">
        <v>2362</v>
      </c>
    </row>
    <row r="634" spans="1:44" ht="12.75" customHeight="1">
      <c r="A634" s="4">
        <f>DATE(86,6,12)</f>
        <v>31575</v>
      </c>
      <c r="B634" s="2" t="s">
        <v>239</v>
      </c>
      <c r="C634" s="2" t="s">
        <v>125</v>
      </c>
      <c r="D634" s="2" t="s">
        <v>260</v>
      </c>
      <c r="E634" s="18">
        <v>2</v>
      </c>
      <c r="F634" s="18">
        <v>0</v>
      </c>
      <c r="G634" s="18">
        <v>1</v>
      </c>
      <c r="H634" s="18">
        <v>0</v>
      </c>
      <c r="I634" s="18">
        <v>4</v>
      </c>
      <c r="J634" s="18">
        <v>1</v>
      </c>
      <c r="K634" s="18">
        <v>0</v>
      </c>
      <c r="T634" s="3">
        <v>8</v>
      </c>
      <c r="U634" s="3">
        <v>10</v>
      </c>
      <c r="V634" s="3">
        <v>4</v>
      </c>
      <c r="X634" s="2" t="s">
        <v>1516</v>
      </c>
      <c r="Y634" s="18">
        <v>2</v>
      </c>
      <c r="Z634" s="18">
        <v>3</v>
      </c>
      <c r="AA634" s="18">
        <v>2</v>
      </c>
      <c r="AB634" s="18">
        <v>0</v>
      </c>
      <c r="AC634" s="18">
        <v>0</v>
      </c>
      <c r="AD634" s="18">
        <v>3</v>
      </c>
      <c r="AE634" s="18" t="s">
        <v>162</v>
      </c>
      <c r="AN634" s="3">
        <v>10</v>
      </c>
      <c r="AO634" s="3">
        <v>7</v>
      </c>
      <c r="AP634" s="3">
        <v>5</v>
      </c>
      <c r="AR634" s="2" t="s">
        <v>1553</v>
      </c>
    </row>
    <row r="635" spans="1:44" ht="12.75" customHeight="1">
      <c r="A635" s="4">
        <v>14360</v>
      </c>
      <c r="C635" s="2" t="s">
        <v>154</v>
      </c>
      <c r="E635" s="18">
        <v>0</v>
      </c>
      <c r="F635" s="18">
        <v>1</v>
      </c>
      <c r="G635" s="18">
        <v>0</v>
      </c>
      <c r="H635" s="18">
        <v>1</v>
      </c>
      <c r="I635" s="18">
        <v>1</v>
      </c>
      <c r="J635" s="18">
        <v>0</v>
      </c>
      <c r="K635" s="18">
        <v>1</v>
      </c>
      <c r="T635" s="3">
        <v>4</v>
      </c>
      <c r="U635" s="3">
        <v>8</v>
      </c>
      <c r="V635" s="3">
        <v>3</v>
      </c>
      <c r="X635" s="2" t="s">
        <v>1924</v>
      </c>
      <c r="Y635" s="18">
        <v>1</v>
      </c>
      <c r="Z635" s="18">
        <v>0</v>
      </c>
      <c r="AA635" s="18">
        <v>0</v>
      </c>
      <c r="AB635" s="18">
        <v>0</v>
      </c>
      <c r="AC635" s="18">
        <v>1</v>
      </c>
      <c r="AD635" s="18">
        <v>0</v>
      </c>
      <c r="AE635" s="18">
        <v>1</v>
      </c>
      <c r="AN635" s="3">
        <v>3</v>
      </c>
      <c r="AO635" s="3">
        <v>7</v>
      </c>
      <c r="AP635" s="3">
        <v>0</v>
      </c>
      <c r="AR635" s="2" t="s">
        <v>1925</v>
      </c>
    </row>
    <row r="636" spans="1:44" ht="12.75" customHeight="1">
      <c r="A636" s="20">
        <v>1939</v>
      </c>
      <c r="B636" s="2" t="s">
        <v>152</v>
      </c>
      <c r="C636" s="2" t="s">
        <v>154</v>
      </c>
      <c r="T636" s="3">
        <v>12</v>
      </c>
      <c r="U636" s="3" t="s">
        <v>162</v>
      </c>
      <c r="V636" s="3" t="s">
        <v>162</v>
      </c>
      <c r="X636" s="2" t="s">
        <v>27</v>
      </c>
      <c r="AN636" s="3">
        <v>13</v>
      </c>
      <c r="AO636" s="3" t="s">
        <v>162</v>
      </c>
      <c r="AP636" s="3" t="s">
        <v>162</v>
      </c>
      <c r="AR636" s="2" t="s">
        <v>27</v>
      </c>
    </row>
    <row r="637" spans="1:44" ht="12.75" customHeight="1">
      <c r="A637" s="4">
        <v>14728</v>
      </c>
      <c r="C637" s="2" t="s">
        <v>154</v>
      </c>
      <c r="E637" s="18">
        <v>2</v>
      </c>
      <c r="F637" s="18">
        <v>6</v>
      </c>
      <c r="G637" s="18">
        <v>4</v>
      </c>
      <c r="H637" s="18">
        <v>5</v>
      </c>
      <c r="I637" s="18">
        <v>1</v>
      </c>
      <c r="J637" s="18" t="s">
        <v>162</v>
      </c>
      <c r="T637" s="3">
        <v>18</v>
      </c>
      <c r="U637" s="3">
        <v>9</v>
      </c>
      <c r="V637" s="3">
        <v>0</v>
      </c>
      <c r="X637" s="2" t="s">
        <v>53</v>
      </c>
      <c r="Y637" s="18">
        <v>10</v>
      </c>
      <c r="Z637" s="18">
        <v>0</v>
      </c>
      <c r="AA637" s="18">
        <v>0</v>
      </c>
      <c r="AB637" s="18">
        <v>2</v>
      </c>
      <c r="AC637" s="18">
        <v>0</v>
      </c>
      <c r="AD637" s="18">
        <v>0</v>
      </c>
      <c r="AN637" s="3">
        <v>4</v>
      </c>
      <c r="AO637" s="3">
        <v>7</v>
      </c>
      <c r="AP637" s="3">
        <v>0</v>
      </c>
      <c r="AR637" s="2" t="s">
        <v>30</v>
      </c>
    </row>
    <row r="638" spans="1:44" ht="12.75" customHeight="1">
      <c r="A638" s="4">
        <v>14746</v>
      </c>
      <c r="B638" s="2" t="s">
        <v>152</v>
      </c>
      <c r="C638" s="2" t="s">
        <v>154</v>
      </c>
      <c r="E638" s="18">
        <v>1</v>
      </c>
      <c r="F638" s="18">
        <v>0</v>
      </c>
      <c r="G638" s="18">
        <v>1</v>
      </c>
      <c r="H638" s="18">
        <v>2</v>
      </c>
      <c r="I638" s="18">
        <v>2</v>
      </c>
      <c r="J638" s="18">
        <v>4</v>
      </c>
      <c r="K638" s="18">
        <v>1</v>
      </c>
      <c r="T638" s="3">
        <v>11</v>
      </c>
      <c r="U638" s="3">
        <v>11</v>
      </c>
      <c r="V638" s="3">
        <v>0</v>
      </c>
      <c r="X638" s="2" t="s">
        <v>60</v>
      </c>
      <c r="Y638" s="18">
        <v>0</v>
      </c>
      <c r="Z638" s="18">
        <v>0</v>
      </c>
      <c r="AA638" s="18">
        <v>2</v>
      </c>
      <c r="AB638" s="18">
        <v>0</v>
      </c>
      <c r="AC638" s="18">
        <v>3</v>
      </c>
      <c r="AD638" s="18">
        <v>0</v>
      </c>
      <c r="AE638" s="18">
        <v>3</v>
      </c>
      <c r="AN638" s="3">
        <v>8</v>
      </c>
      <c r="AO638" s="3">
        <v>11</v>
      </c>
      <c r="AP638" s="3">
        <v>0</v>
      </c>
      <c r="AR638" s="2" t="s">
        <v>30</v>
      </c>
    </row>
    <row r="639" spans="1:44" ht="12.75" customHeight="1">
      <c r="A639" s="4">
        <v>15098</v>
      </c>
      <c r="C639" s="2" t="s">
        <v>154</v>
      </c>
      <c r="E639" s="18">
        <v>4</v>
      </c>
      <c r="F639" s="18">
        <v>1</v>
      </c>
      <c r="G639" s="18">
        <v>0</v>
      </c>
      <c r="H639" s="18">
        <v>5</v>
      </c>
      <c r="I639" s="18">
        <v>3</v>
      </c>
      <c r="J639" s="18">
        <v>0</v>
      </c>
      <c r="K639" s="18" t="s">
        <v>162</v>
      </c>
      <c r="T639" s="3">
        <v>13</v>
      </c>
      <c r="U639" s="3">
        <v>8</v>
      </c>
      <c r="V639" s="3">
        <v>2</v>
      </c>
      <c r="X639" s="2" t="s">
        <v>66</v>
      </c>
      <c r="Y639" s="18">
        <v>0</v>
      </c>
      <c r="Z639" s="18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N639" s="3">
        <v>0</v>
      </c>
      <c r="AO639" s="3">
        <v>6</v>
      </c>
      <c r="AP639" s="3">
        <v>6</v>
      </c>
      <c r="AR639" s="2" t="s">
        <v>30</v>
      </c>
    </row>
    <row r="640" spans="1:44" ht="12.75" customHeight="1">
      <c r="A640" s="4">
        <v>15113</v>
      </c>
      <c r="B640" s="2" t="s">
        <v>152</v>
      </c>
      <c r="C640" s="2" t="s">
        <v>154</v>
      </c>
      <c r="E640" s="18">
        <v>5</v>
      </c>
      <c r="F640" s="18">
        <v>5</v>
      </c>
      <c r="G640" s="18">
        <v>5</v>
      </c>
      <c r="H640" s="18">
        <v>0</v>
      </c>
      <c r="I640" s="18">
        <v>0</v>
      </c>
      <c r="J640" s="18">
        <v>0</v>
      </c>
      <c r="K640" s="18">
        <v>0</v>
      </c>
      <c r="T640" s="3">
        <v>15</v>
      </c>
      <c r="U640" s="3">
        <v>17</v>
      </c>
      <c r="V640" s="3">
        <v>0</v>
      </c>
      <c r="X640" s="2" t="s">
        <v>1750</v>
      </c>
      <c r="Y640" s="18">
        <v>0</v>
      </c>
      <c r="Z640" s="18">
        <v>0</v>
      </c>
      <c r="AA640" s="18">
        <v>0</v>
      </c>
      <c r="AB640" s="18">
        <v>0</v>
      </c>
      <c r="AC640" s="18">
        <v>1</v>
      </c>
      <c r="AD640" s="18">
        <v>5</v>
      </c>
      <c r="AE640" s="18">
        <v>0</v>
      </c>
      <c r="AN640" s="3">
        <v>6</v>
      </c>
      <c r="AO640" s="3">
        <v>8</v>
      </c>
      <c r="AP640" s="3">
        <v>2</v>
      </c>
      <c r="AR640" s="2" t="s">
        <v>30</v>
      </c>
    </row>
    <row r="641" spans="1:44" ht="12.75" customHeight="1">
      <c r="A641" s="4">
        <v>15467</v>
      </c>
      <c r="B641" s="2" t="s">
        <v>152</v>
      </c>
      <c r="C641" s="2" t="s">
        <v>154</v>
      </c>
      <c r="E641" s="18">
        <v>3</v>
      </c>
      <c r="F641" s="18">
        <v>0</v>
      </c>
      <c r="G641" s="18">
        <v>0</v>
      </c>
      <c r="H641" s="18">
        <v>2</v>
      </c>
      <c r="I641" s="18">
        <v>2</v>
      </c>
      <c r="J641" s="18">
        <v>2</v>
      </c>
      <c r="K641" s="18">
        <v>1</v>
      </c>
      <c r="L641" s="18">
        <v>2</v>
      </c>
      <c r="M641" s="18">
        <v>2</v>
      </c>
      <c r="T641" s="3">
        <v>14</v>
      </c>
      <c r="U641" s="3" t="s">
        <v>162</v>
      </c>
      <c r="V641" s="3" t="s">
        <v>162</v>
      </c>
      <c r="X641" s="2" t="s">
        <v>68</v>
      </c>
      <c r="Y641" s="18">
        <v>0</v>
      </c>
      <c r="Z641" s="18">
        <v>0</v>
      </c>
      <c r="AA641" s="18">
        <v>3</v>
      </c>
      <c r="AB641" s="18">
        <v>0</v>
      </c>
      <c r="AC641" s="18">
        <v>0</v>
      </c>
      <c r="AD641" s="18">
        <v>0</v>
      </c>
      <c r="AE641" s="18">
        <v>2</v>
      </c>
      <c r="AF641" s="18">
        <v>1</v>
      </c>
      <c r="AG641" s="18">
        <v>0</v>
      </c>
      <c r="AN641" s="3">
        <v>6</v>
      </c>
      <c r="AO641" s="3" t="s">
        <v>162</v>
      </c>
      <c r="AP641" s="3" t="s">
        <v>162</v>
      </c>
      <c r="AR641" s="2" t="s">
        <v>364</v>
      </c>
    </row>
    <row r="642" spans="1:44" ht="12.75" customHeight="1">
      <c r="A642" s="4">
        <v>18016</v>
      </c>
      <c r="B642" s="2" t="s">
        <v>152</v>
      </c>
      <c r="C642" s="2" t="s">
        <v>154</v>
      </c>
      <c r="E642" s="18">
        <v>0</v>
      </c>
      <c r="F642" s="18">
        <v>0</v>
      </c>
      <c r="G642" s="18">
        <v>3</v>
      </c>
      <c r="H642" s="18">
        <v>0</v>
      </c>
      <c r="I642" s="18">
        <v>2</v>
      </c>
      <c r="J642" s="18">
        <v>0</v>
      </c>
      <c r="K642" s="18">
        <v>0</v>
      </c>
      <c r="T642" s="3">
        <v>5</v>
      </c>
      <c r="U642" s="3">
        <v>7</v>
      </c>
      <c r="V642" s="3">
        <v>4</v>
      </c>
      <c r="X642" s="2" t="s">
        <v>79</v>
      </c>
      <c r="Y642" s="18">
        <v>0</v>
      </c>
      <c r="Z642" s="18">
        <v>8</v>
      </c>
      <c r="AA642" s="18">
        <v>0</v>
      </c>
      <c r="AB642" s="18">
        <v>3</v>
      </c>
      <c r="AC642" s="18">
        <v>0</v>
      </c>
      <c r="AD642" s="18">
        <v>0</v>
      </c>
      <c r="AE642" s="18" t="s">
        <v>162</v>
      </c>
      <c r="AN642" s="3">
        <v>11</v>
      </c>
      <c r="AO642" s="3">
        <v>8</v>
      </c>
      <c r="AP642" s="3">
        <v>3</v>
      </c>
      <c r="AR642" s="2" t="s">
        <v>333</v>
      </c>
    </row>
    <row r="643" spans="1:44" ht="12.75" customHeight="1">
      <c r="A643" s="4">
        <v>17281</v>
      </c>
      <c r="C643" s="2" t="s">
        <v>187</v>
      </c>
      <c r="E643" s="18">
        <v>1</v>
      </c>
      <c r="F643" s="18">
        <v>0</v>
      </c>
      <c r="G643" s="18">
        <v>0</v>
      </c>
      <c r="H643" s="18">
        <v>1</v>
      </c>
      <c r="I643" s="18">
        <v>1</v>
      </c>
      <c r="J643" s="18">
        <v>1</v>
      </c>
      <c r="T643" s="3">
        <v>4</v>
      </c>
      <c r="U643" s="3">
        <v>8</v>
      </c>
      <c r="V643" s="3">
        <v>1</v>
      </c>
      <c r="X643" s="2" t="s">
        <v>72</v>
      </c>
      <c r="Y643" s="18">
        <v>0</v>
      </c>
      <c r="Z643" s="18">
        <v>4</v>
      </c>
      <c r="AA643" s="18">
        <v>1</v>
      </c>
      <c r="AB643" s="18">
        <v>2</v>
      </c>
      <c r="AC643" s="18">
        <v>0</v>
      </c>
      <c r="AD643" s="18">
        <v>1</v>
      </c>
      <c r="AN643" s="3">
        <f>SUM(Y643:AH643)</f>
        <v>8</v>
      </c>
      <c r="AO643" s="3">
        <v>4</v>
      </c>
      <c r="AP643" s="3">
        <v>7</v>
      </c>
      <c r="AR643" s="2" t="s">
        <v>353</v>
      </c>
    </row>
    <row r="644" spans="1:44" ht="12.75" customHeight="1">
      <c r="A644" s="4">
        <f>DATE(82,4,29)</f>
        <v>30070</v>
      </c>
      <c r="B644" s="2" t="s">
        <v>152</v>
      </c>
      <c r="C644" s="2" t="s">
        <v>305</v>
      </c>
      <c r="E644" s="18">
        <v>4</v>
      </c>
      <c r="F644" s="18">
        <v>0</v>
      </c>
      <c r="G644" s="18">
        <v>1</v>
      </c>
      <c r="H644" s="18">
        <v>2</v>
      </c>
      <c r="I644" s="18">
        <v>0</v>
      </c>
      <c r="J644" s="18">
        <v>4</v>
      </c>
      <c r="K644" s="18">
        <v>2</v>
      </c>
      <c r="T644" s="3">
        <v>13</v>
      </c>
      <c r="U644" s="3">
        <v>13</v>
      </c>
      <c r="V644" s="3">
        <v>1</v>
      </c>
      <c r="X644" s="2" t="s">
        <v>1356</v>
      </c>
      <c r="Y644" s="18">
        <v>0</v>
      </c>
      <c r="Z644" s="18">
        <v>1</v>
      </c>
      <c r="AA644" s="18">
        <v>1</v>
      </c>
      <c r="AB644" s="18">
        <v>1</v>
      </c>
      <c r="AC644" s="18">
        <v>0</v>
      </c>
      <c r="AD644" s="18">
        <v>0</v>
      </c>
      <c r="AE644" s="18">
        <v>0</v>
      </c>
      <c r="AN644" s="3">
        <v>3</v>
      </c>
      <c r="AO644" s="3">
        <v>6</v>
      </c>
      <c r="AP644" s="3">
        <v>3</v>
      </c>
      <c r="AR644" s="2" t="s">
        <v>303</v>
      </c>
    </row>
    <row r="645" spans="1:44" ht="12.75" customHeight="1">
      <c r="A645" s="4">
        <f>DATE(82,5,1)</f>
        <v>30072</v>
      </c>
      <c r="C645" s="2" t="s">
        <v>305</v>
      </c>
      <c r="E645" s="18">
        <v>5</v>
      </c>
      <c r="F645" s="18">
        <v>1</v>
      </c>
      <c r="G645" s="18">
        <v>0</v>
      </c>
      <c r="H645" s="18">
        <v>1</v>
      </c>
      <c r="I645" s="18">
        <v>4</v>
      </c>
      <c r="J645" s="18">
        <v>4</v>
      </c>
      <c r="K645" s="18">
        <v>0</v>
      </c>
      <c r="T645" s="3">
        <v>15</v>
      </c>
      <c r="U645" s="3">
        <v>12</v>
      </c>
      <c r="V645" s="3">
        <v>5</v>
      </c>
      <c r="X645" s="2" t="s">
        <v>1339</v>
      </c>
      <c r="Y645" s="18">
        <v>0</v>
      </c>
      <c r="Z645" s="18">
        <v>0</v>
      </c>
      <c r="AA645" s="18">
        <v>0</v>
      </c>
      <c r="AB645" s="18">
        <v>2</v>
      </c>
      <c r="AC645" s="18">
        <v>0</v>
      </c>
      <c r="AD645" s="18">
        <v>4</v>
      </c>
      <c r="AE645" s="18">
        <v>3</v>
      </c>
      <c r="AN645" s="3">
        <v>9</v>
      </c>
      <c r="AO645" s="3">
        <v>8</v>
      </c>
      <c r="AP645" s="3">
        <v>1</v>
      </c>
      <c r="AR645" s="2" t="s">
        <v>1386</v>
      </c>
    </row>
    <row r="646" spans="1:44" ht="12.75" customHeight="1">
      <c r="A646" s="4">
        <f>DATE(82,5,10)</f>
        <v>30081</v>
      </c>
      <c r="C646" s="2" t="s">
        <v>305</v>
      </c>
      <c r="E646" s="18">
        <v>0</v>
      </c>
      <c r="F646" s="18">
        <v>0</v>
      </c>
      <c r="G646" s="18">
        <v>2</v>
      </c>
      <c r="H646" s="18">
        <v>0</v>
      </c>
      <c r="I646" s="18">
        <v>4</v>
      </c>
      <c r="J646" s="18">
        <v>1</v>
      </c>
      <c r="K646" s="18" t="s">
        <v>162</v>
      </c>
      <c r="T646" s="3">
        <v>7</v>
      </c>
      <c r="U646" s="3">
        <v>9</v>
      </c>
      <c r="V646" s="3">
        <v>1</v>
      </c>
      <c r="X646" s="2" t="s">
        <v>1339</v>
      </c>
      <c r="Y646" s="18">
        <v>0</v>
      </c>
      <c r="Z646" s="18">
        <v>0</v>
      </c>
      <c r="AA646" s="18">
        <v>0</v>
      </c>
      <c r="AB646" s="18">
        <v>2</v>
      </c>
      <c r="AC646" s="18">
        <v>0</v>
      </c>
      <c r="AD646" s="18">
        <v>0</v>
      </c>
      <c r="AE646" s="18">
        <v>0</v>
      </c>
      <c r="AN646" s="3">
        <v>2</v>
      </c>
      <c r="AO646" s="3">
        <v>3</v>
      </c>
      <c r="AP646" s="3">
        <v>1</v>
      </c>
      <c r="AR646" s="2" t="s">
        <v>1388</v>
      </c>
    </row>
    <row r="647" spans="1:44" ht="12.75" customHeight="1">
      <c r="A647" s="4">
        <f>DATE(83,4,13)</f>
        <v>30419</v>
      </c>
      <c r="C647" s="2" t="s">
        <v>305</v>
      </c>
      <c r="E647" s="18">
        <v>1</v>
      </c>
      <c r="F647" s="18">
        <v>0</v>
      </c>
      <c r="G647" s="18">
        <v>3</v>
      </c>
      <c r="H647" s="18">
        <v>4</v>
      </c>
      <c r="I647" s="18">
        <v>2</v>
      </c>
      <c r="J647" s="18">
        <v>0</v>
      </c>
      <c r="K647" s="18" t="s">
        <v>162</v>
      </c>
      <c r="T647" s="3">
        <v>10</v>
      </c>
      <c r="U647" s="3">
        <v>11</v>
      </c>
      <c r="V647" s="3">
        <v>3</v>
      </c>
      <c r="X647" s="2" t="s">
        <v>1378</v>
      </c>
      <c r="Y647" s="18">
        <v>0</v>
      </c>
      <c r="Z647" s="18">
        <v>0</v>
      </c>
      <c r="AA647" s="18">
        <v>1</v>
      </c>
      <c r="AB647" s="18">
        <v>0</v>
      </c>
      <c r="AC647" s="18">
        <v>1</v>
      </c>
      <c r="AD647" s="18">
        <v>0</v>
      </c>
      <c r="AE647" s="18">
        <v>0</v>
      </c>
      <c r="AN647" s="3">
        <v>2</v>
      </c>
      <c r="AO647" s="3">
        <v>7</v>
      </c>
      <c r="AP647" s="3">
        <v>5</v>
      </c>
      <c r="AR647" s="2" t="s">
        <v>1403</v>
      </c>
    </row>
    <row r="648" spans="1:44" ht="12.75" customHeight="1">
      <c r="A648" s="4">
        <f>DATE(83,5,6)</f>
        <v>30442</v>
      </c>
      <c r="B648" s="2" t="s">
        <v>152</v>
      </c>
      <c r="C648" s="2" t="s">
        <v>305</v>
      </c>
      <c r="E648" s="18">
        <v>0</v>
      </c>
      <c r="F648" s="18">
        <v>0</v>
      </c>
      <c r="G648" s="18">
        <v>0</v>
      </c>
      <c r="H648" s="18">
        <v>2</v>
      </c>
      <c r="I648" s="18">
        <v>0</v>
      </c>
      <c r="J648" s="18">
        <v>0</v>
      </c>
      <c r="K648" s="18">
        <v>0</v>
      </c>
      <c r="T648" s="3">
        <v>2</v>
      </c>
      <c r="U648" s="3">
        <v>7</v>
      </c>
      <c r="V648" s="3">
        <v>6</v>
      </c>
      <c r="X648" s="2" t="s">
        <v>1429</v>
      </c>
      <c r="Y648" s="18">
        <v>0</v>
      </c>
      <c r="Z648" s="18">
        <v>0</v>
      </c>
      <c r="AA648" s="18">
        <v>0</v>
      </c>
      <c r="AB648" s="18">
        <v>1</v>
      </c>
      <c r="AC648" s="18">
        <v>2</v>
      </c>
      <c r="AD648" s="18">
        <v>4</v>
      </c>
      <c r="AE648" s="18" t="s">
        <v>162</v>
      </c>
      <c r="AN648" s="3">
        <v>7</v>
      </c>
      <c r="AO648" s="3">
        <v>7</v>
      </c>
      <c r="AP648" s="3">
        <v>0</v>
      </c>
      <c r="AR648" s="2" t="s">
        <v>1430</v>
      </c>
    </row>
    <row r="649" spans="1:44" ht="12.75" customHeight="1">
      <c r="A649" s="4">
        <f>DATE(84,4,10)</f>
        <v>30782</v>
      </c>
      <c r="C649" s="2" t="s">
        <v>305</v>
      </c>
      <c r="E649" s="18">
        <v>1</v>
      </c>
      <c r="F649" s="18">
        <v>0</v>
      </c>
      <c r="G649" s="18">
        <v>4</v>
      </c>
      <c r="H649" s="18">
        <v>0</v>
      </c>
      <c r="I649" s="18">
        <v>7</v>
      </c>
      <c r="J649" s="18">
        <v>0</v>
      </c>
      <c r="K649" s="18" t="s">
        <v>162</v>
      </c>
      <c r="T649" s="3">
        <v>12</v>
      </c>
      <c r="U649" s="3">
        <v>15</v>
      </c>
      <c r="V649" s="3">
        <v>2</v>
      </c>
      <c r="X649" s="2" t="s">
        <v>1453</v>
      </c>
      <c r="Y649" s="18">
        <v>0</v>
      </c>
      <c r="Z649" s="18">
        <v>1</v>
      </c>
      <c r="AA649" s="18">
        <v>0</v>
      </c>
      <c r="AB649" s="18">
        <v>2</v>
      </c>
      <c r="AC649" s="18">
        <v>1</v>
      </c>
      <c r="AD649" s="18">
        <v>2</v>
      </c>
      <c r="AE649" s="18">
        <v>4</v>
      </c>
      <c r="AN649" s="3">
        <v>10</v>
      </c>
      <c r="AO649" s="3">
        <v>9</v>
      </c>
      <c r="AP649" s="3">
        <v>0</v>
      </c>
      <c r="AR649" s="2" t="s">
        <v>317</v>
      </c>
    </row>
    <row r="650" spans="1:44" ht="12.75" customHeight="1">
      <c r="A650" s="4">
        <f>DATE(84,5,9)</f>
        <v>30811</v>
      </c>
      <c r="B650" s="2" t="s">
        <v>152</v>
      </c>
      <c r="C650" s="2" t="s">
        <v>305</v>
      </c>
      <c r="E650" s="18">
        <v>0</v>
      </c>
      <c r="F650" s="18">
        <v>0</v>
      </c>
      <c r="G650" s="18">
        <v>0</v>
      </c>
      <c r="H650" s="18">
        <v>2</v>
      </c>
      <c r="I650" s="18">
        <v>1</v>
      </c>
      <c r="J650" s="18">
        <v>1</v>
      </c>
      <c r="K650" s="18">
        <v>2</v>
      </c>
      <c r="T650" s="3">
        <v>6</v>
      </c>
      <c r="U650" s="3">
        <v>7</v>
      </c>
      <c r="V650" s="3">
        <v>2</v>
      </c>
      <c r="X650" s="2" t="s">
        <v>1399</v>
      </c>
      <c r="Y650" s="18">
        <v>0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  <c r="AE650" s="18">
        <v>0</v>
      </c>
      <c r="AN650" s="3">
        <v>0</v>
      </c>
      <c r="AO650" s="3">
        <v>2</v>
      </c>
      <c r="AP650" s="3">
        <v>4</v>
      </c>
      <c r="AR650" s="2" t="s">
        <v>1430</v>
      </c>
    </row>
    <row r="651" spans="1:44" ht="12.75" customHeight="1">
      <c r="A651" s="4">
        <f>DATE(85,4,16)</f>
        <v>31153</v>
      </c>
      <c r="C651" s="2" t="s">
        <v>305</v>
      </c>
      <c r="E651" s="18">
        <v>6</v>
      </c>
      <c r="F651" s="18">
        <v>4</v>
      </c>
      <c r="G651" s="18">
        <v>3</v>
      </c>
      <c r="H651" s="18">
        <v>3</v>
      </c>
      <c r="I651" s="18" t="s">
        <v>162</v>
      </c>
      <c r="T651" s="3">
        <v>16</v>
      </c>
      <c r="U651" s="3">
        <v>13</v>
      </c>
      <c r="V651" s="3">
        <v>0</v>
      </c>
      <c r="X651" s="2" t="s">
        <v>1484</v>
      </c>
      <c r="Y651" s="18">
        <v>0</v>
      </c>
      <c r="Z651" s="18">
        <v>0</v>
      </c>
      <c r="AA651" s="18">
        <v>1</v>
      </c>
      <c r="AB651" s="18">
        <v>2</v>
      </c>
      <c r="AC651" s="18">
        <v>0</v>
      </c>
      <c r="AN651" s="3">
        <v>3</v>
      </c>
      <c r="AO651" s="3">
        <v>3</v>
      </c>
      <c r="AP651" s="3">
        <v>3</v>
      </c>
      <c r="AR651" s="2" t="s">
        <v>1485</v>
      </c>
    </row>
    <row r="652" spans="1:44" ht="12.75" customHeight="1">
      <c r="A652" s="4">
        <f>DATE(85,5,7)</f>
        <v>31174</v>
      </c>
      <c r="B652" s="2" t="s">
        <v>152</v>
      </c>
      <c r="C652" s="2" t="s">
        <v>305</v>
      </c>
      <c r="E652" s="18">
        <v>0</v>
      </c>
      <c r="F652" s="18">
        <v>0</v>
      </c>
      <c r="G652" s="18">
        <v>0</v>
      </c>
      <c r="H652" s="18">
        <v>2</v>
      </c>
      <c r="I652" s="18">
        <v>9</v>
      </c>
      <c r="J652" s="18">
        <v>4</v>
      </c>
      <c r="K652" s="18">
        <v>3</v>
      </c>
      <c r="T652" s="3">
        <v>18</v>
      </c>
      <c r="U652" s="3">
        <v>23</v>
      </c>
      <c r="V652" s="3">
        <v>3</v>
      </c>
      <c r="X652" s="2" t="s">
        <v>1507</v>
      </c>
      <c r="Y652" s="18">
        <v>0</v>
      </c>
      <c r="Z652" s="18">
        <v>1</v>
      </c>
      <c r="AA652" s="18">
        <v>2</v>
      </c>
      <c r="AB652" s="18">
        <v>5</v>
      </c>
      <c r="AC652" s="18">
        <v>0</v>
      </c>
      <c r="AD652" s="18">
        <v>1</v>
      </c>
      <c r="AE652" s="18">
        <v>0</v>
      </c>
      <c r="AN652" s="3">
        <v>9</v>
      </c>
      <c r="AO652" s="3">
        <v>8</v>
      </c>
      <c r="AP652" s="3">
        <v>4</v>
      </c>
      <c r="AR652" s="2" t="s">
        <v>1508</v>
      </c>
    </row>
    <row r="653" spans="1:44" ht="12.75" customHeight="1">
      <c r="A653" s="4">
        <f>DATE(86,4,18)</f>
        <v>31520</v>
      </c>
      <c r="C653" s="2" t="s">
        <v>305</v>
      </c>
      <c r="E653" s="18">
        <v>0</v>
      </c>
      <c r="F653" s="18">
        <v>1</v>
      </c>
      <c r="G653" s="18">
        <v>0</v>
      </c>
      <c r="H653" s="18">
        <v>0</v>
      </c>
      <c r="I653" s="18">
        <v>0</v>
      </c>
      <c r="J653" s="18">
        <v>2</v>
      </c>
      <c r="K653" s="18">
        <v>1</v>
      </c>
      <c r="T653" s="3">
        <v>4</v>
      </c>
      <c r="U653" s="3">
        <v>11</v>
      </c>
      <c r="V653" s="3">
        <v>2</v>
      </c>
      <c r="X653" s="2" t="s">
        <v>1530</v>
      </c>
      <c r="Y653" s="18">
        <v>0</v>
      </c>
      <c r="Z653" s="18">
        <v>1</v>
      </c>
      <c r="AA653" s="18">
        <v>1</v>
      </c>
      <c r="AB653" s="18">
        <v>0</v>
      </c>
      <c r="AC653" s="18">
        <v>1</v>
      </c>
      <c r="AD653" s="18">
        <v>0</v>
      </c>
      <c r="AE653" s="18">
        <v>0</v>
      </c>
      <c r="AN653" s="3">
        <v>3</v>
      </c>
      <c r="AO653" s="3">
        <v>7</v>
      </c>
      <c r="AP653" s="3">
        <v>1</v>
      </c>
      <c r="AR653" s="2" t="s">
        <v>1531</v>
      </c>
    </row>
    <row r="654" spans="1:44" ht="12.75" customHeight="1">
      <c r="A654" s="4">
        <f>DATE(86,5,8)</f>
        <v>31540</v>
      </c>
      <c r="B654" s="2" t="s">
        <v>152</v>
      </c>
      <c r="C654" s="2" t="s">
        <v>305</v>
      </c>
      <c r="E654" s="18">
        <v>2</v>
      </c>
      <c r="F654" s="18">
        <v>5</v>
      </c>
      <c r="G654" s="18">
        <v>3</v>
      </c>
      <c r="H654" s="18">
        <v>0</v>
      </c>
      <c r="I654" s="18">
        <v>0</v>
      </c>
      <c r="J654" s="18">
        <v>0</v>
      </c>
      <c r="K654" s="18">
        <v>3</v>
      </c>
      <c r="T654" s="3">
        <v>13</v>
      </c>
      <c r="U654" s="3">
        <v>14</v>
      </c>
      <c r="V654" s="3">
        <v>2</v>
      </c>
      <c r="X654" s="2" t="s">
        <v>1498</v>
      </c>
      <c r="Y654" s="18">
        <v>0</v>
      </c>
      <c r="Z654" s="18">
        <v>0</v>
      </c>
      <c r="AA654" s="18">
        <v>1</v>
      </c>
      <c r="AB654" s="18">
        <v>1</v>
      </c>
      <c r="AC654" s="18">
        <v>0</v>
      </c>
      <c r="AD654" s="18">
        <v>2</v>
      </c>
      <c r="AE654" s="18">
        <v>0</v>
      </c>
      <c r="AN654" s="3">
        <v>4</v>
      </c>
      <c r="AO654" s="3">
        <v>8</v>
      </c>
      <c r="AP654" s="3">
        <v>0</v>
      </c>
      <c r="AR654" s="2" t="s">
        <v>1544</v>
      </c>
    </row>
    <row r="655" spans="1:44" ht="12.75" customHeight="1">
      <c r="A655" s="4">
        <f>DATE(87,4,16)</f>
        <v>31883</v>
      </c>
      <c r="C655" s="2" t="s">
        <v>305</v>
      </c>
      <c r="E655" s="18">
        <v>2</v>
      </c>
      <c r="F655" s="18">
        <v>0</v>
      </c>
      <c r="G655" s="18">
        <v>1</v>
      </c>
      <c r="H655" s="18">
        <v>0</v>
      </c>
      <c r="I655" s="18">
        <v>0</v>
      </c>
      <c r="J655" s="18">
        <v>2</v>
      </c>
      <c r="K655" s="18" t="s">
        <v>162</v>
      </c>
      <c r="T655" s="3">
        <v>5</v>
      </c>
      <c r="U655" s="3">
        <v>7</v>
      </c>
      <c r="V655" s="3">
        <v>3</v>
      </c>
      <c r="X655" s="2" t="s">
        <v>1519</v>
      </c>
      <c r="Y655" s="18">
        <v>1</v>
      </c>
      <c r="Z655" s="18">
        <v>0</v>
      </c>
      <c r="AA655" s="18">
        <v>0</v>
      </c>
      <c r="AB655" s="18">
        <v>1</v>
      </c>
      <c r="AC655" s="18">
        <v>0</v>
      </c>
      <c r="AD655" s="18">
        <v>0</v>
      </c>
      <c r="AE655" s="18">
        <v>0</v>
      </c>
      <c r="AN655" s="3">
        <v>2</v>
      </c>
      <c r="AO655" s="3">
        <v>6</v>
      </c>
      <c r="AP655" s="3">
        <v>0</v>
      </c>
      <c r="AR655" s="2" t="s">
        <v>1570</v>
      </c>
    </row>
    <row r="656" spans="1:44" ht="12.75" customHeight="1">
      <c r="A656" s="4">
        <f>DATE(87,5,12)</f>
        <v>31909</v>
      </c>
      <c r="B656" s="2" t="s">
        <v>152</v>
      </c>
      <c r="C656" s="2" t="s">
        <v>305</v>
      </c>
      <c r="E656" s="18">
        <v>3</v>
      </c>
      <c r="F656" s="18">
        <v>3</v>
      </c>
      <c r="G656" s="18">
        <v>0</v>
      </c>
      <c r="H656" s="18">
        <v>5</v>
      </c>
      <c r="I656" s="18">
        <v>0</v>
      </c>
      <c r="J656" s="18">
        <v>0</v>
      </c>
      <c r="K656" s="18">
        <v>1</v>
      </c>
      <c r="T656" s="3">
        <v>12</v>
      </c>
      <c r="U656" s="3">
        <v>15</v>
      </c>
      <c r="V656" s="3">
        <v>3</v>
      </c>
      <c r="X656" s="2" t="s">
        <v>1584</v>
      </c>
      <c r="Y656" s="18">
        <v>0</v>
      </c>
      <c r="Z656" s="18">
        <v>4</v>
      </c>
      <c r="AA656" s="18">
        <v>0</v>
      </c>
      <c r="AB656" s="18">
        <v>3</v>
      </c>
      <c r="AC656" s="18">
        <v>1</v>
      </c>
      <c r="AD656" s="18">
        <v>1</v>
      </c>
      <c r="AE656" s="18">
        <v>2</v>
      </c>
      <c r="AN656" s="3">
        <v>11</v>
      </c>
      <c r="AO656" s="3">
        <v>15</v>
      </c>
      <c r="AP656" s="3">
        <v>1</v>
      </c>
      <c r="AR656" s="2" t="s">
        <v>1485</v>
      </c>
    </row>
    <row r="657" spans="1:44" ht="12.75" customHeight="1">
      <c r="A657" s="4">
        <f>DATE(88,4,25)</f>
        <v>32258</v>
      </c>
      <c r="C657" s="2" t="s">
        <v>305</v>
      </c>
      <c r="E657" s="18">
        <v>1</v>
      </c>
      <c r="F657" s="18">
        <v>0</v>
      </c>
      <c r="G657" s="18">
        <v>2</v>
      </c>
      <c r="H657" s="18">
        <v>0</v>
      </c>
      <c r="I657" s="18">
        <v>1</v>
      </c>
      <c r="J657" s="18">
        <v>2</v>
      </c>
      <c r="K657" s="18" t="s">
        <v>162</v>
      </c>
      <c r="T657" s="3">
        <v>6</v>
      </c>
      <c r="U657" s="3">
        <v>8</v>
      </c>
      <c r="V657" s="3">
        <v>3</v>
      </c>
      <c r="X657" s="2" t="s">
        <v>1597</v>
      </c>
      <c r="Y657" s="18">
        <v>0</v>
      </c>
      <c r="Z657" s="18">
        <v>1</v>
      </c>
      <c r="AA657" s="18">
        <v>0</v>
      </c>
      <c r="AB657" s="18">
        <v>0</v>
      </c>
      <c r="AC657" s="18">
        <v>1</v>
      </c>
      <c r="AD657" s="18">
        <v>0</v>
      </c>
      <c r="AE657" s="18">
        <v>1</v>
      </c>
      <c r="AN657" s="3">
        <v>3</v>
      </c>
      <c r="AO657" s="3">
        <v>5</v>
      </c>
      <c r="AP657" s="3">
        <v>4</v>
      </c>
      <c r="AR657" s="2" t="s">
        <v>1612</v>
      </c>
    </row>
    <row r="658" spans="1:44" ht="12.75" customHeight="1">
      <c r="A658" s="4">
        <f>DATE(89,4,4)</f>
        <v>32602</v>
      </c>
      <c r="B658" s="2" t="s">
        <v>152</v>
      </c>
      <c r="C658" s="2" t="s">
        <v>305</v>
      </c>
      <c r="E658" s="18">
        <v>0</v>
      </c>
      <c r="F658" s="18">
        <v>0</v>
      </c>
      <c r="G658" s="18">
        <v>1</v>
      </c>
      <c r="H658" s="18">
        <v>0</v>
      </c>
      <c r="I658" s="18">
        <v>0</v>
      </c>
      <c r="J658" s="18">
        <v>0</v>
      </c>
      <c r="K658" s="18">
        <v>1</v>
      </c>
      <c r="L658" s="18">
        <v>0</v>
      </c>
      <c r="M658" s="18">
        <v>0</v>
      </c>
      <c r="N658" s="18">
        <v>0</v>
      </c>
      <c r="O658" s="18">
        <v>1</v>
      </c>
      <c r="T658" s="3">
        <v>3</v>
      </c>
      <c r="U658" s="3">
        <v>15</v>
      </c>
      <c r="V658" s="3">
        <v>4</v>
      </c>
      <c r="X658" s="2" t="s">
        <v>1632</v>
      </c>
      <c r="Y658" s="18">
        <v>2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2</v>
      </c>
      <c r="AN658" s="3">
        <v>4</v>
      </c>
      <c r="AO658" s="3">
        <v>6</v>
      </c>
      <c r="AP658" s="3">
        <v>0</v>
      </c>
      <c r="AR658" s="2" t="s">
        <v>1633</v>
      </c>
    </row>
    <row r="659" spans="1:44" ht="12.75" customHeight="1">
      <c r="A659" s="4">
        <f>DATE(89,4,27)</f>
        <v>32625</v>
      </c>
      <c r="C659" s="2" t="s">
        <v>305</v>
      </c>
      <c r="E659" s="18">
        <v>0</v>
      </c>
      <c r="F659" s="18">
        <v>0</v>
      </c>
      <c r="G659" s="18">
        <v>4</v>
      </c>
      <c r="H659" s="18">
        <v>0</v>
      </c>
      <c r="I659" s="18">
        <v>0</v>
      </c>
      <c r="J659" s="18">
        <v>0</v>
      </c>
      <c r="K659" s="18">
        <v>1</v>
      </c>
      <c r="T659" s="3">
        <v>5</v>
      </c>
      <c r="U659" s="3">
        <v>8</v>
      </c>
      <c r="V659" s="3">
        <v>4</v>
      </c>
      <c r="X659" s="2" t="s">
        <v>1647</v>
      </c>
      <c r="Y659" s="18">
        <v>0</v>
      </c>
      <c r="Z659" s="18">
        <v>0</v>
      </c>
      <c r="AA659" s="18">
        <v>1</v>
      </c>
      <c r="AB659" s="18">
        <v>5</v>
      </c>
      <c r="AC659" s="18">
        <v>0</v>
      </c>
      <c r="AD659" s="18">
        <v>0</v>
      </c>
      <c r="AE659" s="18">
        <v>0</v>
      </c>
      <c r="AN659" s="3">
        <v>6</v>
      </c>
      <c r="AO659" s="3">
        <v>7</v>
      </c>
      <c r="AP659" s="3">
        <v>2</v>
      </c>
      <c r="AR659" s="2" t="s">
        <v>1648</v>
      </c>
    </row>
    <row r="660" spans="1:44" ht="12.75" customHeight="1">
      <c r="A660" s="4">
        <f>DATE(90,4,5)</f>
        <v>32968</v>
      </c>
      <c r="B660" s="2" t="s">
        <v>152</v>
      </c>
      <c r="C660" s="2" t="s">
        <v>305</v>
      </c>
      <c r="E660" s="18">
        <v>1</v>
      </c>
      <c r="F660" s="18">
        <v>0</v>
      </c>
      <c r="G660" s="18">
        <v>3</v>
      </c>
      <c r="H660" s="18">
        <v>4</v>
      </c>
      <c r="I660" s="18">
        <v>1</v>
      </c>
      <c r="J660" s="18">
        <v>3</v>
      </c>
      <c r="T660" s="3">
        <v>12</v>
      </c>
      <c r="U660" s="3">
        <v>14</v>
      </c>
      <c r="V660" s="3">
        <v>2</v>
      </c>
      <c r="X660" s="2" t="s">
        <v>1667</v>
      </c>
      <c r="Y660" s="18">
        <v>0</v>
      </c>
      <c r="Z660" s="18">
        <v>0</v>
      </c>
      <c r="AA660" s="18">
        <v>0</v>
      </c>
      <c r="AB660" s="18">
        <v>2</v>
      </c>
      <c r="AC660" s="18">
        <v>0</v>
      </c>
      <c r="AD660" s="18">
        <v>0</v>
      </c>
      <c r="AN660" s="3">
        <v>2</v>
      </c>
      <c r="AO660" s="3">
        <v>1</v>
      </c>
      <c r="AP660" s="3">
        <v>4</v>
      </c>
      <c r="AR660" s="2" t="s">
        <v>1668</v>
      </c>
    </row>
    <row r="661" spans="1:44" ht="12.75" customHeight="1">
      <c r="A661" s="4">
        <f>DATE(90,4,27)</f>
        <v>32990</v>
      </c>
      <c r="C661" s="2" t="s">
        <v>305</v>
      </c>
      <c r="E661" s="18">
        <v>0</v>
      </c>
      <c r="F661" s="18">
        <v>0</v>
      </c>
      <c r="G661" s="18">
        <v>0</v>
      </c>
      <c r="H661" s="18">
        <v>3</v>
      </c>
      <c r="I661" s="18">
        <v>2</v>
      </c>
      <c r="J661" s="18">
        <v>0</v>
      </c>
      <c r="K661" s="18">
        <v>0</v>
      </c>
      <c r="T661" s="3">
        <v>5</v>
      </c>
      <c r="U661" s="3">
        <v>15</v>
      </c>
      <c r="V661" s="3">
        <v>3</v>
      </c>
      <c r="X661" s="2" t="s">
        <v>1695</v>
      </c>
      <c r="Y661" s="18">
        <v>1</v>
      </c>
      <c r="Z661" s="18">
        <v>0</v>
      </c>
      <c r="AA661" s="18">
        <v>0</v>
      </c>
      <c r="AB661" s="18">
        <v>4</v>
      </c>
      <c r="AC661" s="18">
        <v>0</v>
      </c>
      <c r="AD661" s="18">
        <v>1</v>
      </c>
      <c r="AE661" s="18">
        <v>1</v>
      </c>
      <c r="AN661" s="3">
        <v>7</v>
      </c>
      <c r="AO661" s="3">
        <v>9</v>
      </c>
      <c r="AP661" s="3">
        <v>1</v>
      </c>
      <c r="AR661" s="2" t="s">
        <v>1696</v>
      </c>
    </row>
    <row r="662" spans="1:44" ht="12.75" customHeight="1">
      <c r="A662" s="4">
        <f>DATE(91,4,18)</f>
        <v>33346</v>
      </c>
      <c r="C662" s="2" t="s">
        <v>305</v>
      </c>
      <c r="E662" s="18">
        <v>2</v>
      </c>
      <c r="F662" s="18">
        <v>0</v>
      </c>
      <c r="G662" s="18">
        <v>4</v>
      </c>
      <c r="H662" s="18">
        <v>1</v>
      </c>
      <c r="I662" s="18">
        <v>0</v>
      </c>
      <c r="J662" s="18">
        <v>0</v>
      </c>
      <c r="K662" s="18" t="s">
        <v>162</v>
      </c>
      <c r="T662" s="3">
        <v>7</v>
      </c>
      <c r="U662" s="3">
        <v>7</v>
      </c>
      <c r="V662" s="3">
        <v>0</v>
      </c>
      <c r="X662" s="2" t="s">
        <v>1722</v>
      </c>
      <c r="Y662" s="18">
        <v>0</v>
      </c>
      <c r="Z662" s="18">
        <v>0</v>
      </c>
      <c r="AA662" s="18">
        <v>1</v>
      </c>
      <c r="AB662" s="18">
        <v>0</v>
      </c>
      <c r="AC662" s="18">
        <v>0</v>
      </c>
      <c r="AD662" s="18">
        <v>0</v>
      </c>
      <c r="AE662" s="18">
        <v>0</v>
      </c>
      <c r="AN662" s="3">
        <v>1</v>
      </c>
      <c r="AO662" s="3">
        <v>8</v>
      </c>
      <c r="AP662" s="3">
        <v>4</v>
      </c>
      <c r="AR662" s="2" t="s">
        <v>1728</v>
      </c>
    </row>
    <row r="663" spans="1:44" ht="12.75" customHeight="1">
      <c r="A663" s="4">
        <f>DATE(92,4,8)</f>
        <v>33702</v>
      </c>
      <c r="C663" s="2" t="s">
        <v>305</v>
      </c>
      <c r="E663" s="18">
        <v>4</v>
      </c>
      <c r="F663" s="18">
        <v>0</v>
      </c>
      <c r="G663" s="18">
        <v>0</v>
      </c>
      <c r="H663" s="18">
        <v>0</v>
      </c>
      <c r="I663" s="18">
        <v>3</v>
      </c>
      <c r="J663" s="18">
        <v>0</v>
      </c>
      <c r="T663" s="3">
        <v>7</v>
      </c>
      <c r="U663" s="3">
        <v>9</v>
      </c>
      <c r="V663" s="3">
        <v>4</v>
      </c>
      <c r="X663" s="2" t="s">
        <v>1782</v>
      </c>
      <c r="Y663" s="18">
        <v>1</v>
      </c>
      <c r="Z663" s="18">
        <v>0</v>
      </c>
      <c r="AA663" s="18">
        <v>1</v>
      </c>
      <c r="AB663" s="18">
        <v>5</v>
      </c>
      <c r="AC663" s="18">
        <v>2</v>
      </c>
      <c r="AD663" s="18">
        <v>4</v>
      </c>
      <c r="AN663" s="3">
        <f aca="true" t="shared" si="24" ref="AN663:AN705">SUM(Y663:AM663)</f>
        <v>13</v>
      </c>
      <c r="AO663" s="3">
        <v>10</v>
      </c>
      <c r="AP663" s="3">
        <v>3</v>
      </c>
      <c r="AR663" s="2" t="s">
        <v>1783</v>
      </c>
    </row>
    <row r="664" spans="1:44" ht="12.75" customHeight="1">
      <c r="A664" s="4">
        <f>DATE(92,4,28)</f>
        <v>33722</v>
      </c>
      <c r="B664" s="2" t="s">
        <v>152</v>
      </c>
      <c r="C664" s="2" t="s">
        <v>305</v>
      </c>
      <c r="E664" s="18">
        <v>0</v>
      </c>
      <c r="F664" s="18">
        <v>0</v>
      </c>
      <c r="G664" s="18">
        <v>4</v>
      </c>
      <c r="H664" s="18">
        <v>0</v>
      </c>
      <c r="I664" s="18">
        <v>5</v>
      </c>
      <c r="J664" s="18">
        <v>0</v>
      </c>
      <c r="K664" s="18">
        <v>0</v>
      </c>
      <c r="T664" s="3">
        <v>9</v>
      </c>
      <c r="U664" s="3">
        <v>7</v>
      </c>
      <c r="V664" s="3">
        <v>4</v>
      </c>
      <c r="X664" s="2" t="s">
        <v>1784</v>
      </c>
      <c r="Y664" s="18">
        <v>2</v>
      </c>
      <c r="Z664" s="18">
        <v>1</v>
      </c>
      <c r="AA664" s="18">
        <v>0</v>
      </c>
      <c r="AB664" s="18">
        <v>5</v>
      </c>
      <c r="AC664" s="18">
        <v>0</v>
      </c>
      <c r="AD664" s="18">
        <v>2</v>
      </c>
      <c r="AE664" s="18" t="s">
        <v>162</v>
      </c>
      <c r="AN664" s="3">
        <f t="shared" si="24"/>
        <v>10</v>
      </c>
      <c r="AO664" s="3">
        <v>9</v>
      </c>
      <c r="AP664" s="3">
        <v>2</v>
      </c>
      <c r="AR664" s="2" t="s">
        <v>1795</v>
      </c>
    </row>
    <row r="665" spans="1:44" ht="12.75" customHeight="1">
      <c r="A665" s="4">
        <f>DATE(93,4,23)</f>
        <v>34082</v>
      </c>
      <c r="C665" s="2" t="s">
        <v>305</v>
      </c>
      <c r="E665" s="18">
        <v>3</v>
      </c>
      <c r="F665" s="18">
        <v>0</v>
      </c>
      <c r="G665" s="18">
        <v>0</v>
      </c>
      <c r="H665" s="18">
        <v>0</v>
      </c>
      <c r="I665" s="18">
        <v>1</v>
      </c>
      <c r="J665" s="18">
        <v>4</v>
      </c>
      <c r="K665" s="18" t="s">
        <v>162</v>
      </c>
      <c r="T665" s="3">
        <f aca="true" t="shared" si="25" ref="T665:T705">SUM(E665:S665)</f>
        <v>8</v>
      </c>
      <c r="U665" s="3">
        <v>7</v>
      </c>
      <c r="V665" s="3">
        <v>5</v>
      </c>
      <c r="X665" s="2" t="s">
        <v>1799</v>
      </c>
      <c r="Y665" s="18">
        <v>3</v>
      </c>
      <c r="Z665" s="18">
        <v>0</v>
      </c>
      <c r="AA665" s="18">
        <v>0</v>
      </c>
      <c r="AB665" s="18">
        <v>0</v>
      </c>
      <c r="AC665" s="18">
        <v>3</v>
      </c>
      <c r="AD665" s="18">
        <v>1</v>
      </c>
      <c r="AE665" s="18">
        <v>0</v>
      </c>
      <c r="AN665" s="3">
        <f t="shared" si="24"/>
        <v>7</v>
      </c>
      <c r="AO665" s="3">
        <v>8</v>
      </c>
      <c r="AP665" s="3">
        <v>1</v>
      </c>
      <c r="AR665" s="2" t="s">
        <v>1823</v>
      </c>
    </row>
    <row r="666" spans="1:44" ht="12.75" customHeight="1">
      <c r="A666" s="4">
        <f>DATE(93,5,11)</f>
        <v>34100</v>
      </c>
      <c r="B666" s="2" t="s">
        <v>152</v>
      </c>
      <c r="C666" s="2" t="s">
        <v>305</v>
      </c>
      <c r="E666" s="18">
        <v>0</v>
      </c>
      <c r="F666" s="18">
        <v>0</v>
      </c>
      <c r="G666" s="18">
        <v>4</v>
      </c>
      <c r="H666" s="18">
        <v>0</v>
      </c>
      <c r="I666" s="18">
        <v>0</v>
      </c>
      <c r="J666" s="18">
        <v>0</v>
      </c>
      <c r="K666" s="18">
        <v>5</v>
      </c>
      <c r="T666" s="3">
        <f t="shared" si="25"/>
        <v>9</v>
      </c>
      <c r="U666" s="3">
        <v>11</v>
      </c>
      <c r="V666" s="3">
        <v>3</v>
      </c>
      <c r="X666" s="2" t="s">
        <v>1837</v>
      </c>
      <c r="Y666" s="18">
        <v>1</v>
      </c>
      <c r="Z666" s="18">
        <v>0</v>
      </c>
      <c r="AA666" s="18">
        <v>0</v>
      </c>
      <c r="AB666" s="18">
        <v>7</v>
      </c>
      <c r="AC666" s="18">
        <v>2</v>
      </c>
      <c r="AD666" s="18">
        <v>0</v>
      </c>
      <c r="AE666" s="18" t="s">
        <v>162</v>
      </c>
      <c r="AN666" s="3">
        <f t="shared" si="24"/>
        <v>10</v>
      </c>
      <c r="AO666" s="3">
        <v>14</v>
      </c>
      <c r="AP666" s="3">
        <v>1</v>
      </c>
      <c r="AR666" s="2" t="s">
        <v>1838</v>
      </c>
    </row>
    <row r="667" spans="1:44" ht="12.75" customHeight="1">
      <c r="A667" s="4">
        <f>DATE(94,4,26)</f>
        <v>34450</v>
      </c>
      <c r="B667" s="2" t="s">
        <v>152</v>
      </c>
      <c r="C667" s="2" t="s">
        <v>305</v>
      </c>
      <c r="E667" s="18">
        <v>3</v>
      </c>
      <c r="F667" s="18">
        <v>0</v>
      </c>
      <c r="G667" s="18">
        <v>1</v>
      </c>
      <c r="H667" s="18">
        <v>0</v>
      </c>
      <c r="I667" s="18">
        <v>6</v>
      </c>
      <c r="J667" s="18">
        <v>0</v>
      </c>
      <c r="K667" s="18">
        <v>0</v>
      </c>
      <c r="T667" s="3">
        <f t="shared" si="25"/>
        <v>10</v>
      </c>
      <c r="U667" s="3">
        <v>12</v>
      </c>
      <c r="V667" s="3">
        <v>5</v>
      </c>
      <c r="X667" s="2" t="s">
        <v>1862</v>
      </c>
      <c r="Y667" s="18">
        <v>2</v>
      </c>
      <c r="Z667" s="18">
        <v>0</v>
      </c>
      <c r="AA667" s="18">
        <v>4</v>
      </c>
      <c r="AB667" s="18">
        <v>5</v>
      </c>
      <c r="AC667" s="18">
        <v>0</v>
      </c>
      <c r="AD667" s="18">
        <v>0</v>
      </c>
      <c r="AE667" s="18" t="s">
        <v>162</v>
      </c>
      <c r="AN667" s="3">
        <f t="shared" si="24"/>
        <v>11</v>
      </c>
      <c r="AO667" s="3">
        <v>8</v>
      </c>
      <c r="AP667" s="3">
        <v>2</v>
      </c>
      <c r="AR667" s="2" t="s">
        <v>1863</v>
      </c>
    </row>
    <row r="668" spans="1:44" ht="12.75" customHeight="1">
      <c r="A668" s="4">
        <f>DATE(95,4,7)</f>
        <v>34796</v>
      </c>
      <c r="B668" s="2" t="s">
        <v>152</v>
      </c>
      <c r="C668" s="2" t="s">
        <v>305</v>
      </c>
      <c r="E668" s="18">
        <v>0</v>
      </c>
      <c r="F668" s="18">
        <v>2</v>
      </c>
      <c r="G668" s="18">
        <v>1</v>
      </c>
      <c r="H668" s="18">
        <v>0</v>
      </c>
      <c r="I668" s="18">
        <v>0</v>
      </c>
      <c r="J668" s="18">
        <v>1</v>
      </c>
      <c r="K668" s="18">
        <v>0</v>
      </c>
      <c r="L668" s="18">
        <v>0</v>
      </c>
      <c r="T668" s="3">
        <f t="shared" si="25"/>
        <v>4</v>
      </c>
      <c r="U668" s="3">
        <v>5</v>
      </c>
      <c r="V668" s="3">
        <v>5</v>
      </c>
      <c r="X668" s="2" t="s">
        <v>1840</v>
      </c>
      <c r="Y668" s="18">
        <v>1</v>
      </c>
      <c r="Z668" s="18">
        <v>0</v>
      </c>
      <c r="AA668" s="18">
        <v>0</v>
      </c>
      <c r="AB668" s="18">
        <v>0</v>
      </c>
      <c r="AC668" s="18">
        <v>2</v>
      </c>
      <c r="AD668" s="18">
        <v>1</v>
      </c>
      <c r="AE668" s="18">
        <v>0</v>
      </c>
      <c r="AF668" s="18">
        <v>1</v>
      </c>
      <c r="AN668" s="3">
        <f t="shared" si="24"/>
        <v>5</v>
      </c>
      <c r="AO668" s="3">
        <v>5</v>
      </c>
      <c r="AP668" s="3">
        <v>1</v>
      </c>
      <c r="AR668" s="2" t="s">
        <v>1881</v>
      </c>
    </row>
    <row r="669" spans="1:44" ht="12.75" customHeight="1">
      <c r="A669" s="4">
        <f>DATE(95,5,16)</f>
        <v>34835</v>
      </c>
      <c r="C669" s="2" t="s">
        <v>305</v>
      </c>
      <c r="E669" s="18">
        <v>2</v>
      </c>
      <c r="F669" s="18">
        <v>1</v>
      </c>
      <c r="G669" s="18">
        <v>2</v>
      </c>
      <c r="H669" s="18">
        <v>2</v>
      </c>
      <c r="I669" s="18">
        <v>4</v>
      </c>
      <c r="J669" s="18" t="s">
        <v>162</v>
      </c>
      <c r="T669" s="3">
        <f t="shared" si="25"/>
        <v>11</v>
      </c>
      <c r="U669" s="3">
        <v>10</v>
      </c>
      <c r="V669" s="3">
        <v>2</v>
      </c>
      <c r="X669" s="2" t="s">
        <v>1903</v>
      </c>
      <c r="Y669" s="18">
        <v>0</v>
      </c>
      <c r="Z669" s="18">
        <v>0</v>
      </c>
      <c r="AA669" s="18">
        <v>0</v>
      </c>
      <c r="AB669" s="18">
        <v>0</v>
      </c>
      <c r="AC669" s="18">
        <v>0</v>
      </c>
      <c r="AN669" s="3">
        <f t="shared" si="24"/>
        <v>0</v>
      </c>
      <c r="AO669" s="3">
        <v>0</v>
      </c>
      <c r="AP669" s="3">
        <v>1</v>
      </c>
      <c r="AR669" s="2" t="s">
        <v>1904</v>
      </c>
    </row>
    <row r="670" spans="1:44" ht="12.75" customHeight="1">
      <c r="A670" s="4">
        <v>35180</v>
      </c>
      <c r="C670" s="2" t="s">
        <v>305</v>
      </c>
      <c r="E670" s="18">
        <v>0</v>
      </c>
      <c r="F670" s="18">
        <v>0</v>
      </c>
      <c r="G670" s="18">
        <v>1</v>
      </c>
      <c r="H670" s="18">
        <v>0</v>
      </c>
      <c r="I670" s="18">
        <v>0</v>
      </c>
      <c r="J670" s="18">
        <v>1</v>
      </c>
      <c r="K670" s="18">
        <v>2</v>
      </c>
      <c r="T670" s="3">
        <f t="shared" si="25"/>
        <v>4</v>
      </c>
      <c r="U670" s="3">
        <v>8</v>
      </c>
      <c r="V670" s="3">
        <v>2</v>
      </c>
      <c r="X670" s="2" t="s">
        <v>432</v>
      </c>
      <c r="Y670" s="18">
        <v>0</v>
      </c>
      <c r="Z670" s="18">
        <v>0</v>
      </c>
      <c r="AA670" s="18">
        <v>0</v>
      </c>
      <c r="AB670" s="18">
        <v>0</v>
      </c>
      <c r="AC670" s="18">
        <v>3</v>
      </c>
      <c r="AD670" s="18">
        <v>0</v>
      </c>
      <c r="AE670" s="18">
        <v>0</v>
      </c>
      <c r="AN670" s="3">
        <f t="shared" si="24"/>
        <v>3</v>
      </c>
      <c r="AO670" s="3">
        <v>4</v>
      </c>
      <c r="AP670" s="3">
        <v>2</v>
      </c>
      <c r="AR670" s="2" t="s">
        <v>1281</v>
      </c>
    </row>
    <row r="671" spans="1:44" ht="12.75" customHeight="1">
      <c r="A671" s="9">
        <f>DATE(1997,4,10)</f>
        <v>35530</v>
      </c>
      <c r="C671" s="2" t="s">
        <v>305</v>
      </c>
      <c r="E671" s="18">
        <v>3</v>
      </c>
      <c r="F671" s="18">
        <v>1</v>
      </c>
      <c r="G671" s="18">
        <v>0</v>
      </c>
      <c r="H671" s="18">
        <v>0</v>
      </c>
      <c r="I671" s="18">
        <v>3</v>
      </c>
      <c r="J671" s="18">
        <v>3</v>
      </c>
      <c r="K671" s="18" t="s">
        <v>162</v>
      </c>
      <c r="T671" s="3">
        <f t="shared" si="25"/>
        <v>10</v>
      </c>
      <c r="U671" s="3">
        <v>9</v>
      </c>
      <c r="V671" s="3">
        <v>2</v>
      </c>
      <c r="X671" s="2" t="s">
        <v>434</v>
      </c>
      <c r="Y671" s="18">
        <v>0</v>
      </c>
      <c r="Z671" s="18">
        <v>0</v>
      </c>
      <c r="AA671" s="18">
        <v>0</v>
      </c>
      <c r="AB671" s="18">
        <v>2</v>
      </c>
      <c r="AC671" s="18">
        <v>0</v>
      </c>
      <c r="AD671" s="18">
        <v>0</v>
      </c>
      <c r="AE671" s="18">
        <v>0</v>
      </c>
      <c r="AN671" s="3">
        <f t="shared" si="24"/>
        <v>2</v>
      </c>
      <c r="AO671" s="3">
        <v>8</v>
      </c>
      <c r="AP671" s="3">
        <v>5</v>
      </c>
      <c r="AR671" s="2" t="s">
        <v>448</v>
      </c>
    </row>
    <row r="672" spans="1:44" ht="12.75" customHeight="1">
      <c r="A672" s="9">
        <f>DATE(1997,4,29)</f>
        <v>35549</v>
      </c>
      <c r="B672" s="2" t="s">
        <v>152</v>
      </c>
      <c r="C672" s="2" t="s">
        <v>305</v>
      </c>
      <c r="E672" s="18">
        <v>5</v>
      </c>
      <c r="F672" s="18">
        <v>2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T672" s="3">
        <f t="shared" si="25"/>
        <v>7</v>
      </c>
      <c r="U672" s="3">
        <v>13</v>
      </c>
      <c r="V672" s="3">
        <v>1</v>
      </c>
      <c r="X672" s="2" t="s">
        <v>434</v>
      </c>
      <c r="Y672" s="18">
        <v>1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  <c r="AE672" s="18">
        <v>0</v>
      </c>
      <c r="AN672" s="3">
        <f t="shared" si="24"/>
        <v>1</v>
      </c>
      <c r="AO672" s="3">
        <v>7</v>
      </c>
      <c r="AP672" s="3">
        <v>3</v>
      </c>
      <c r="AR672" s="2" t="s">
        <v>449</v>
      </c>
    </row>
    <row r="673" spans="1:44" ht="12.75" customHeight="1">
      <c r="A673" s="4">
        <v>35908</v>
      </c>
      <c r="B673" s="2" t="s">
        <v>152</v>
      </c>
      <c r="C673" s="2" t="s">
        <v>305</v>
      </c>
      <c r="E673" s="18">
        <v>2</v>
      </c>
      <c r="F673" s="18">
        <v>1</v>
      </c>
      <c r="G673" s="18">
        <v>0</v>
      </c>
      <c r="H673" s="18">
        <v>1</v>
      </c>
      <c r="I673" s="18">
        <v>0</v>
      </c>
      <c r="J673" s="18">
        <v>2</v>
      </c>
      <c r="K673" s="18">
        <v>0</v>
      </c>
      <c r="T673" s="3">
        <f t="shared" si="25"/>
        <v>6</v>
      </c>
      <c r="U673" s="3">
        <v>9</v>
      </c>
      <c r="V673" s="3">
        <v>1</v>
      </c>
      <c r="X673" s="2" t="s">
        <v>1995</v>
      </c>
      <c r="Y673" s="18">
        <v>1</v>
      </c>
      <c r="Z673" s="18">
        <v>0</v>
      </c>
      <c r="AA673" s="18">
        <v>3</v>
      </c>
      <c r="AB673" s="18">
        <v>0</v>
      </c>
      <c r="AC673" s="18">
        <v>0</v>
      </c>
      <c r="AD673" s="18">
        <v>2</v>
      </c>
      <c r="AE673" s="18">
        <v>1</v>
      </c>
      <c r="AN673" s="3">
        <f t="shared" si="24"/>
        <v>7</v>
      </c>
      <c r="AO673" s="3">
        <v>11</v>
      </c>
      <c r="AP673" s="3">
        <v>2</v>
      </c>
      <c r="AR673" s="2" t="s">
        <v>2005</v>
      </c>
    </row>
    <row r="674" spans="1:44" ht="12.75" customHeight="1">
      <c r="A674" s="4">
        <v>35935</v>
      </c>
      <c r="C674" s="2" t="s">
        <v>305</v>
      </c>
      <c r="E674" s="18">
        <v>7</v>
      </c>
      <c r="F674" s="18">
        <v>0</v>
      </c>
      <c r="G674" s="18">
        <v>1</v>
      </c>
      <c r="H674" s="18">
        <v>9</v>
      </c>
      <c r="I674" s="18">
        <v>0</v>
      </c>
      <c r="J674" s="18">
        <v>0</v>
      </c>
      <c r="T674" s="3">
        <f t="shared" si="25"/>
        <v>17</v>
      </c>
      <c r="U674" s="3">
        <v>13</v>
      </c>
      <c r="V674" s="3">
        <v>4</v>
      </c>
      <c r="X674" s="2" t="s">
        <v>565</v>
      </c>
      <c r="Y674" s="18">
        <v>2</v>
      </c>
      <c r="Z674" s="18">
        <v>2</v>
      </c>
      <c r="AA674" s="18">
        <v>2</v>
      </c>
      <c r="AB674" s="18">
        <v>2</v>
      </c>
      <c r="AC674" s="18">
        <v>2</v>
      </c>
      <c r="AD674" s="18">
        <v>0</v>
      </c>
      <c r="AE674" s="18">
        <v>2</v>
      </c>
      <c r="AN674" s="3">
        <f t="shared" si="24"/>
        <v>12</v>
      </c>
      <c r="AO674" s="3">
        <v>14</v>
      </c>
      <c r="AP674" s="3">
        <v>3</v>
      </c>
      <c r="AR674" s="2" t="s">
        <v>2012</v>
      </c>
    </row>
    <row r="675" spans="1:44" ht="12.75" customHeight="1">
      <c r="A675" s="5">
        <v>36277</v>
      </c>
      <c r="C675" s="2" t="s">
        <v>305</v>
      </c>
      <c r="E675" s="18">
        <v>0</v>
      </c>
      <c r="F675" s="18">
        <v>0</v>
      </c>
      <c r="G675" s="18">
        <v>0</v>
      </c>
      <c r="H675" s="18">
        <v>0</v>
      </c>
      <c r="I675" s="18">
        <v>3</v>
      </c>
      <c r="J675" s="18">
        <v>2</v>
      </c>
      <c r="K675" s="18">
        <v>0</v>
      </c>
      <c r="T675" s="3">
        <f t="shared" si="25"/>
        <v>5</v>
      </c>
      <c r="U675" s="3">
        <v>6</v>
      </c>
      <c r="V675" s="3">
        <v>6</v>
      </c>
      <c r="X675" s="2" t="s">
        <v>1997</v>
      </c>
      <c r="Y675" s="18">
        <v>0</v>
      </c>
      <c r="Z675" s="18">
        <v>0</v>
      </c>
      <c r="AA675" s="18">
        <v>3</v>
      </c>
      <c r="AB675" s="18">
        <v>4</v>
      </c>
      <c r="AC675" s="18">
        <v>0</v>
      </c>
      <c r="AD675" s="18">
        <v>2</v>
      </c>
      <c r="AE675" s="18">
        <v>0</v>
      </c>
      <c r="AN675" s="3">
        <f t="shared" si="24"/>
        <v>9</v>
      </c>
      <c r="AO675" s="3">
        <v>9</v>
      </c>
      <c r="AP675" s="3">
        <v>3</v>
      </c>
      <c r="AR675" s="2" t="s">
        <v>614</v>
      </c>
    </row>
    <row r="676" spans="1:44" ht="12.75" customHeight="1">
      <c r="A676" s="4">
        <v>36641</v>
      </c>
      <c r="B676" s="2" t="s">
        <v>152</v>
      </c>
      <c r="C676" s="2" t="s">
        <v>305</v>
      </c>
      <c r="E676" s="18">
        <v>0</v>
      </c>
      <c r="F676" s="18">
        <v>0</v>
      </c>
      <c r="G676" s="18">
        <v>0</v>
      </c>
      <c r="H676" s="18">
        <v>3</v>
      </c>
      <c r="I676" s="18">
        <v>1</v>
      </c>
      <c r="J676" s="18">
        <v>0</v>
      </c>
      <c r="K676" s="18">
        <v>0</v>
      </c>
      <c r="T676" s="3">
        <f t="shared" si="25"/>
        <v>4</v>
      </c>
      <c r="U676" s="3">
        <v>5</v>
      </c>
      <c r="V676" s="3">
        <v>5</v>
      </c>
      <c r="X676" s="2" t="s">
        <v>22</v>
      </c>
      <c r="Y676" s="18">
        <v>1</v>
      </c>
      <c r="Z676" s="18">
        <v>2</v>
      </c>
      <c r="AA676" s="18">
        <v>2</v>
      </c>
      <c r="AB676" s="18">
        <v>0</v>
      </c>
      <c r="AC676" s="18">
        <v>3</v>
      </c>
      <c r="AD676" s="18">
        <v>2</v>
      </c>
      <c r="AE676" s="18" t="s">
        <v>162</v>
      </c>
      <c r="AN676" s="3">
        <f t="shared" si="24"/>
        <v>10</v>
      </c>
      <c r="AO676" s="3">
        <v>6</v>
      </c>
      <c r="AP676" s="3">
        <v>0</v>
      </c>
      <c r="AR676" s="2" t="s">
        <v>23</v>
      </c>
    </row>
    <row r="677" spans="1:44" ht="12.75" customHeight="1">
      <c r="A677" s="5">
        <v>37000</v>
      </c>
      <c r="C677" s="2" t="s">
        <v>305</v>
      </c>
      <c r="E677" s="18">
        <v>3</v>
      </c>
      <c r="F677" s="18">
        <v>4</v>
      </c>
      <c r="G677" s="18">
        <v>4</v>
      </c>
      <c r="H677" s="18">
        <v>1</v>
      </c>
      <c r="I677" s="18" t="s">
        <v>162</v>
      </c>
      <c r="T677" s="3">
        <f t="shared" si="25"/>
        <v>12</v>
      </c>
      <c r="U677" s="3">
        <v>10</v>
      </c>
      <c r="V677" s="3">
        <v>1</v>
      </c>
      <c r="X677" s="2" t="s">
        <v>105</v>
      </c>
      <c r="Y677" s="18">
        <v>0</v>
      </c>
      <c r="Z677" s="18">
        <v>0</v>
      </c>
      <c r="AA677" s="18">
        <v>0</v>
      </c>
      <c r="AB677" s="18">
        <v>0</v>
      </c>
      <c r="AC677" s="18">
        <v>0</v>
      </c>
      <c r="AN677" s="3">
        <f t="shared" si="24"/>
        <v>0</v>
      </c>
      <c r="AO677" s="3">
        <v>0</v>
      </c>
      <c r="AP677" s="3">
        <v>1</v>
      </c>
      <c r="AR677" s="2" t="s">
        <v>106</v>
      </c>
    </row>
    <row r="678" spans="1:44" ht="12.75" customHeight="1">
      <c r="A678" s="8">
        <v>37369</v>
      </c>
      <c r="B678" s="2" t="s">
        <v>152</v>
      </c>
      <c r="C678" s="2" t="s">
        <v>305</v>
      </c>
      <c r="E678" s="18">
        <v>0</v>
      </c>
      <c r="F678" s="18">
        <v>1</v>
      </c>
      <c r="G678" s="18">
        <v>1</v>
      </c>
      <c r="H678" s="18">
        <v>0</v>
      </c>
      <c r="I678" s="18">
        <v>0</v>
      </c>
      <c r="J678" s="18">
        <v>0</v>
      </c>
      <c r="K678" s="18">
        <v>2</v>
      </c>
      <c r="T678" s="3">
        <f t="shared" si="25"/>
        <v>4</v>
      </c>
      <c r="U678" s="3">
        <v>8</v>
      </c>
      <c r="V678" s="3">
        <v>1</v>
      </c>
      <c r="X678" s="2" t="s">
        <v>99</v>
      </c>
      <c r="Y678" s="18">
        <v>0</v>
      </c>
      <c r="Z678" s="18">
        <v>0</v>
      </c>
      <c r="AA678" s="18">
        <v>0</v>
      </c>
      <c r="AB678" s="18">
        <v>2</v>
      </c>
      <c r="AC678" s="18">
        <v>1</v>
      </c>
      <c r="AD678" s="18">
        <v>0</v>
      </c>
      <c r="AE678" s="18">
        <v>0</v>
      </c>
      <c r="AN678" s="3">
        <f t="shared" si="24"/>
        <v>3</v>
      </c>
      <c r="AO678" s="3">
        <v>6</v>
      </c>
      <c r="AP678" s="3">
        <v>1</v>
      </c>
      <c r="AR678" s="2" t="s">
        <v>1114</v>
      </c>
    </row>
    <row r="679" spans="1:44" ht="12.75" customHeight="1">
      <c r="A679" s="8">
        <v>37728</v>
      </c>
      <c r="C679" s="2" t="s">
        <v>305</v>
      </c>
      <c r="E679" s="18">
        <v>0</v>
      </c>
      <c r="F679" s="18">
        <v>0</v>
      </c>
      <c r="G679" s="18">
        <v>2</v>
      </c>
      <c r="H679" s="18">
        <v>6</v>
      </c>
      <c r="I679" s="18">
        <v>2</v>
      </c>
      <c r="J679" s="18">
        <v>0</v>
      </c>
      <c r="K679" s="18" t="s">
        <v>162</v>
      </c>
      <c r="T679" s="3">
        <f t="shared" si="25"/>
        <v>10</v>
      </c>
      <c r="U679" s="3">
        <v>12</v>
      </c>
      <c r="V679" s="3">
        <v>0</v>
      </c>
      <c r="X679" s="2" t="s">
        <v>20</v>
      </c>
      <c r="Y679" s="18">
        <v>1</v>
      </c>
      <c r="Z679" s="18">
        <v>1</v>
      </c>
      <c r="AA679" s="18">
        <v>2</v>
      </c>
      <c r="AB679" s="18">
        <v>0</v>
      </c>
      <c r="AC679" s="18">
        <v>1</v>
      </c>
      <c r="AD679" s="18">
        <v>1</v>
      </c>
      <c r="AE679" s="18">
        <v>0</v>
      </c>
      <c r="AN679" s="3">
        <f t="shared" si="24"/>
        <v>6</v>
      </c>
      <c r="AO679" s="3">
        <v>7</v>
      </c>
      <c r="AP679" s="3">
        <v>4</v>
      </c>
      <c r="AR679" s="2" t="s">
        <v>574</v>
      </c>
    </row>
    <row r="680" spans="1:44" ht="12.75" customHeight="1">
      <c r="A680" s="5">
        <v>38098</v>
      </c>
      <c r="B680" s="2" t="s">
        <v>152</v>
      </c>
      <c r="C680" s="2" t="s">
        <v>305</v>
      </c>
      <c r="E680" s="18">
        <v>0</v>
      </c>
      <c r="F680" s="18">
        <v>3</v>
      </c>
      <c r="G680" s="18">
        <v>0</v>
      </c>
      <c r="H680" s="18">
        <v>1</v>
      </c>
      <c r="I680" s="18">
        <v>0</v>
      </c>
      <c r="T680" s="3">
        <f t="shared" si="25"/>
        <v>4</v>
      </c>
      <c r="U680" s="3">
        <v>7</v>
      </c>
      <c r="V680" s="3">
        <v>3</v>
      </c>
      <c r="X680" s="2" t="s">
        <v>519</v>
      </c>
      <c r="Y680" s="18">
        <v>6</v>
      </c>
      <c r="Z680" s="18">
        <v>2</v>
      </c>
      <c r="AA680" s="18">
        <v>2</v>
      </c>
      <c r="AB680" s="18">
        <v>0</v>
      </c>
      <c r="AC680" s="18">
        <v>4</v>
      </c>
      <c r="AN680" s="3">
        <f t="shared" si="24"/>
        <v>14</v>
      </c>
      <c r="AO680" s="3">
        <v>17</v>
      </c>
      <c r="AP680" s="3">
        <v>2</v>
      </c>
      <c r="AR680" s="2" t="s">
        <v>520</v>
      </c>
    </row>
    <row r="681" spans="1:44" ht="12.75" customHeight="1">
      <c r="A681" s="5">
        <f>DATE(2005,4,18)</f>
        <v>38460</v>
      </c>
      <c r="C681" s="2" t="s">
        <v>305</v>
      </c>
      <c r="E681" s="18">
        <v>0</v>
      </c>
      <c r="F681" s="18">
        <v>0</v>
      </c>
      <c r="G681" s="18">
        <v>0</v>
      </c>
      <c r="H681" s="18">
        <v>0</v>
      </c>
      <c r="T681" s="3">
        <f t="shared" si="25"/>
        <v>0</v>
      </c>
      <c r="U681" s="3">
        <v>0</v>
      </c>
      <c r="V681" s="3">
        <v>2</v>
      </c>
      <c r="X681" s="2" t="s">
        <v>546</v>
      </c>
      <c r="Y681" s="18">
        <v>0</v>
      </c>
      <c r="Z681" s="18">
        <v>1</v>
      </c>
      <c r="AA681" s="18">
        <v>6</v>
      </c>
      <c r="AB681" s="18">
        <v>8</v>
      </c>
      <c r="AN681" s="3">
        <f t="shared" si="24"/>
        <v>15</v>
      </c>
      <c r="AO681" s="3">
        <v>9</v>
      </c>
      <c r="AP681" s="3">
        <v>1</v>
      </c>
      <c r="AR681" s="2" t="s">
        <v>547</v>
      </c>
    </row>
    <row r="682" spans="1:44" ht="12.75" customHeight="1">
      <c r="A682" s="5">
        <v>38827</v>
      </c>
      <c r="B682" s="2" t="s">
        <v>152</v>
      </c>
      <c r="C682" s="2" t="s">
        <v>305</v>
      </c>
      <c r="E682" s="18">
        <v>2</v>
      </c>
      <c r="F682" s="18">
        <v>0</v>
      </c>
      <c r="G682" s="18">
        <v>0</v>
      </c>
      <c r="H682" s="18">
        <v>1</v>
      </c>
      <c r="I682" s="18">
        <v>0</v>
      </c>
      <c r="J682" s="18">
        <v>1</v>
      </c>
      <c r="K682" s="18">
        <v>0</v>
      </c>
      <c r="T682" s="3">
        <f t="shared" si="25"/>
        <v>4</v>
      </c>
      <c r="U682" s="3">
        <v>8</v>
      </c>
      <c r="V682" s="3">
        <v>1</v>
      </c>
      <c r="X682" s="2" t="s">
        <v>1679</v>
      </c>
      <c r="Y682" s="18">
        <v>0</v>
      </c>
      <c r="Z682" s="18">
        <v>5</v>
      </c>
      <c r="AA682" s="18">
        <v>0</v>
      </c>
      <c r="AB682" s="18">
        <v>0</v>
      </c>
      <c r="AC682" s="18">
        <v>0</v>
      </c>
      <c r="AD682" s="18">
        <v>0</v>
      </c>
      <c r="AE682" s="18" t="s">
        <v>162</v>
      </c>
      <c r="AN682" s="3">
        <f t="shared" si="24"/>
        <v>5</v>
      </c>
      <c r="AO682" s="3">
        <v>6</v>
      </c>
      <c r="AP682" s="3">
        <v>0</v>
      </c>
      <c r="AR682" s="2" t="s">
        <v>460</v>
      </c>
    </row>
    <row r="683" spans="1:44" ht="12.75" customHeight="1">
      <c r="A683" s="5">
        <v>39192</v>
      </c>
      <c r="C683" s="2" t="s">
        <v>305</v>
      </c>
      <c r="E683" s="18">
        <v>5</v>
      </c>
      <c r="F683" s="18">
        <v>4</v>
      </c>
      <c r="G683" s="18">
        <v>3</v>
      </c>
      <c r="H683" s="18">
        <v>2</v>
      </c>
      <c r="I683" s="18" t="s">
        <v>162</v>
      </c>
      <c r="T683" s="3">
        <f t="shared" si="25"/>
        <v>14</v>
      </c>
      <c r="U683" s="3">
        <v>13</v>
      </c>
      <c r="V683" s="3">
        <v>0</v>
      </c>
      <c r="X683" s="2" t="s">
        <v>470</v>
      </c>
      <c r="Y683" s="18">
        <v>0</v>
      </c>
      <c r="Z683" s="18">
        <v>0</v>
      </c>
      <c r="AA683" s="18">
        <v>0</v>
      </c>
      <c r="AB683" s="18">
        <v>0</v>
      </c>
      <c r="AC683" s="18">
        <v>0</v>
      </c>
      <c r="AN683" s="3">
        <f t="shared" si="24"/>
        <v>0</v>
      </c>
      <c r="AO683" s="3">
        <v>1</v>
      </c>
      <c r="AP683" s="3">
        <v>2</v>
      </c>
      <c r="AR683" s="2" t="s">
        <v>491</v>
      </c>
    </row>
    <row r="684" spans="1:44" ht="12.75" customHeight="1">
      <c r="A684" s="5">
        <v>39576</v>
      </c>
      <c r="B684" s="2" t="s">
        <v>152</v>
      </c>
      <c r="C684" s="2" t="s">
        <v>305</v>
      </c>
      <c r="E684" s="18">
        <v>0</v>
      </c>
      <c r="F684" s="18">
        <v>0</v>
      </c>
      <c r="G684" s="18">
        <v>2</v>
      </c>
      <c r="H684" s="18">
        <v>0</v>
      </c>
      <c r="I684" s="18">
        <v>0</v>
      </c>
      <c r="J684" s="18">
        <v>0</v>
      </c>
      <c r="K684" s="18">
        <v>0</v>
      </c>
      <c r="T684" s="3">
        <f t="shared" si="25"/>
        <v>2</v>
      </c>
      <c r="U684" s="3">
        <v>2</v>
      </c>
      <c r="V684" s="3">
        <v>4</v>
      </c>
      <c r="X684" s="10" t="s">
        <v>468</v>
      </c>
      <c r="Y684" s="18">
        <v>0</v>
      </c>
      <c r="Z684" s="18">
        <v>1</v>
      </c>
      <c r="AA684" s="18">
        <v>0</v>
      </c>
      <c r="AB684" s="18">
        <v>0</v>
      </c>
      <c r="AC684" s="18">
        <v>6</v>
      </c>
      <c r="AD684" s="18">
        <v>0</v>
      </c>
      <c r="AE684" s="18" t="s">
        <v>162</v>
      </c>
      <c r="AN684" s="3">
        <f t="shared" si="24"/>
        <v>7</v>
      </c>
      <c r="AO684" s="3">
        <v>7</v>
      </c>
      <c r="AP684" s="3">
        <v>0</v>
      </c>
      <c r="AR684" s="2" t="s">
        <v>1663</v>
      </c>
    </row>
    <row r="685" spans="1:44" ht="12.75" customHeight="1">
      <c r="A685" s="5">
        <v>40312</v>
      </c>
      <c r="C685" s="2" t="s">
        <v>305</v>
      </c>
      <c r="E685" s="18">
        <v>0</v>
      </c>
      <c r="F685" s="18">
        <v>2</v>
      </c>
      <c r="G685" s="18">
        <v>1</v>
      </c>
      <c r="H685" s="18">
        <v>0</v>
      </c>
      <c r="I685" s="18">
        <v>0</v>
      </c>
      <c r="J685" s="18">
        <v>3</v>
      </c>
      <c r="K685" s="18">
        <v>1</v>
      </c>
      <c r="T685" s="3">
        <f t="shared" si="25"/>
        <v>7</v>
      </c>
      <c r="U685" s="3">
        <v>8</v>
      </c>
      <c r="V685" s="3">
        <v>2</v>
      </c>
      <c r="X685" s="2" t="s">
        <v>786</v>
      </c>
      <c r="Y685" s="18">
        <v>1</v>
      </c>
      <c r="Z685" s="18">
        <v>2</v>
      </c>
      <c r="AA685" s="18">
        <v>0</v>
      </c>
      <c r="AB685" s="18">
        <v>2</v>
      </c>
      <c r="AC685" s="18">
        <v>4</v>
      </c>
      <c r="AD685" s="18">
        <v>2</v>
      </c>
      <c r="AE685" s="18">
        <v>1</v>
      </c>
      <c r="AN685" s="3">
        <f t="shared" si="24"/>
        <v>12</v>
      </c>
      <c r="AO685" s="3">
        <v>21</v>
      </c>
      <c r="AP685" s="3">
        <v>0</v>
      </c>
      <c r="AR685" s="2" t="s">
        <v>787</v>
      </c>
    </row>
    <row r="686" spans="1:44" ht="12.75" customHeight="1">
      <c r="A686" s="5">
        <v>40660</v>
      </c>
      <c r="C686" s="2" t="s">
        <v>305</v>
      </c>
      <c r="E686" s="18">
        <v>1</v>
      </c>
      <c r="F686" s="18">
        <v>0</v>
      </c>
      <c r="G686" s="18">
        <v>4</v>
      </c>
      <c r="H686" s="18">
        <v>2</v>
      </c>
      <c r="I686" s="18">
        <v>3</v>
      </c>
      <c r="T686" s="3">
        <f t="shared" si="25"/>
        <v>10</v>
      </c>
      <c r="U686" s="3">
        <v>12</v>
      </c>
      <c r="V686" s="3">
        <v>2</v>
      </c>
      <c r="X686" s="2" t="s">
        <v>1966</v>
      </c>
      <c r="Y686" s="18">
        <v>1</v>
      </c>
      <c r="Z686" s="18">
        <v>0</v>
      </c>
      <c r="AA686" s="18">
        <v>1</v>
      </c>
      <c r="AB686" s="18">
        <v>0</v>
      </c>
      <c r="AC686" s="18">
        <v>0</v>
      </c>
      <c r="AN686" s="3">
        <f t="shared" si="24"/>
        <v>2</v>
      </c>
      <c r="AO686" s="3">
        <v>6</v>
      </c>
      <c r="AP686" s="3">
        <v>2</v>
      </c>
      <c r="AR686" s="2" t="s">
        <v>1969</v>
      </c>
    </row>
    <row r="687" spans="1:44" ht="12.75" customHeight="1">
      <c r="A687" s="5">
        <v>40675</v>
      </c>
      <c r="B687" s="2" t="s">
        <v>152</v>
      </c>
      <c r="C687" s="2" t="s">
        <v>305</v>
      </c>
      <c r="E687" s="18">
        <v>5</v>
      </c>
      <c r="F687" s="18">
        <v>2</v>
      </c>
      <c r="G687" s="18">
        <v>0</v>
      </c>
      <c r="H687" s="18">
        <v>0</v>
      </c>
      <c r="I687" s="18">
        <v>0</v>
      </c>
      <c r="J687" s="18">
        <v>6</v>
      </c>
      <c r="T687" s="3">
        <f t="shared" si="25"/>
        <v>13</v>
      </c>
      <c r="U687" s="3">
        <v>13</v>
      </c>
      <c r="V687" s="3">
        <v>0</v>
      </c>
      <c r="X687" s="2" t="s">
        <v>1967</v>
      </c>
      <c r="Y687" s="18">
        <v>0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  <c r="AN687" s="3">
        <f t="shared" si="24"/>
        <v>0</v>
      </c>
      <c r="AO687" s="3">
        <v>7</v>
      </c>
      <c r="AP687" s="3">
        <v>0</v>
      </c>
      <c r="AR687" s="2" t="s">
        <v>1986</v>
      </c>
    </row>
    <row r="688" spans="1:44" ht="12.75" customHeight="1">
      <c r="A688" s="5">
        <v>41003</v>
      </c>
      <c r="C688" s="2" t="s">
        <v>305</v>
      </c>
      <c r="E688" s="18">
        <v>2</v>
      </c>
      <c r="F688" s="18">
        <v>0</v>
      </c>
      <c r="G688" s="18">
        <v>0</v>
      </c>
      <c r="H688" s="18">
        <v>0</v>
      </c>
      <c r="I688" s="18">
        <v>8</v>
      </c>
      <c r="J688" s="18">
        <v>8</v>
      </c>
      <c r="K688" s="18" t="s">
        <v>162</v>
      </c>
      <c r="T688" s="3">
        <f t="shared" si="25"/>
        <v>18</v>
      </c>
      <c r="U688" s="3">
        <v>14</v>
      </c>
      <c r="V688" s="3">
        <v>6</v>
      </c>
      <c r="X688" s="2" t="s">
        <v>2020</v>
      </c>
      <c r="Y688" s="18">
        <v>1</v>
      </c>
      <c r="Z688" s="18">
        <v>6</v>
      </c>
      <c r="AA688" s="18">
        <v>5</v>
      </c>
      <c r="AB688" s="18">
        <v>1</v>
      </c>
      <c r="AC688" s="18">
        <v>0</v>
      </c>
      <c r="AD688" s="18">
        <v>0</v>
      </c>
      <c r="AE688" s="18">
        <v>1</v>
      </c>
      <c r="AN688" s="3">
        <f t="shared" si="24"/>
        <v>14</v>
      </c>
      <c r="AO688" s="3">
        <v>16</v>
      </c>
      <c r="AP688" s="3">
        <v>5</v>
      </c>
      <c r="AR688" s="2" t="s">
        <v>2025</v>
      </c>
    </row>
    <row r="689" spans="1:44" ht="12.75" customHeight="1">
      <c r="A689" s="5">
        <v>41024</v>
      </c>
      <c r="B689" s="2" t="s">
        <v>152</v>
      </c>
      <c r="C689" s="2" t="s">
        <v>305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4</v>
      </c>
      <c r="T689" s="3">
        <f t="shared" si="25"/>
        <v>4</v>
      </c>
      <c r="U689" s="3">
        <v>3</v>
      </c>
      <c r="V689" s="3">
        <v>3</v>
      </c>
      <c r="X689" s="2" t="s">
        <v>2037</v>
      </c>
      <c r="Y689" s="18">
        <v>2</v>
      </c>
      <c r="Z689" s="18">
        <v>0</v>
      </c>
      <c r="AA689" s="18">
        <v>1</v>
      </c>
      <c r="AB689" s="18">
        <v>1</v>
      </c>
      <c r="AC689" s="18">
        <v>0</v>
      </c>
      <c r="AD689" s="18">
        <v>2</v>
      </c>
      <c r="AE689" s="18" t="s">
        <v>162</v>
      </c>
      <c r="AN689" s="3">
        <f t="shared" si="24"/>
        <v>6</v>
      </c>
      <c r="AO689" s="3">
        <v>9</v>
      </c>
      <c r="AP689" s="3">
        <v>1</v>
      </c>
      <c r="AR689" s="2" t="s">
        <v>2038</v>
      </c>
    </row>
    <row r="690" spans="1:44" ht="12.75" customHeight="1">
      <c r="A690" s="5">
        <v>41363</v>
      </c>
      <c r="B690" s="2" t="s">
        <v>152</v>
      </c>
      <c r="C690" s="2" t="s">
        <v>305</v>
      </c>
      <c r="E690" s="18">
        <v>0</v>
      </c>
      <c r="F690" s="18">
        <v>0</v>
      </c>
      <c r="G690" s="18">
        <v>4</v>
      </c>
      <c r="H690" s="18">
        <v>9</v>
      </c>
      <c r="I690" s="18">
        <v>0</v>
      </c>
      <c r="J690" s="18">
        <v>1</v>
      </c>
      <c r="K690" s="18">
        <v>4</v>
      </c>
      <c r="T690" s="3">
        <f t="shared" si="25"/>
        <v>18</v>
      </c>
      <c r="U690" s="3">
        <v>11</v>
      </c>
      <c r="V690" s="3">
        <v>3</v>
      </c>
      <c r="X690" s="2" t="s">
        <v>2072</v>
      </c>
      <c r="Y690" s="18">
        <v>0</v>
      </c>
      <c r="Z690" s="18">
        <v>4</v>
      </c>
      <c r="AA690" s="18">
        <v>1</v>
      </c>
      <c r="AB690" s="18">
        <v>0</v>
      </c>
      <c r="AC690" s="18">
        <v>0</v>
      </c>
      <c r="AD690" s="18">
        <v>1</v>
      </c>
      <c r="AE690" s="18">
        <v>1</v>
      </c>
      <c r="AN690" s="3">
        <f t="shared" si="24"/>
        <v>7</v>
      </c>
      <c r="AO690" s="3">
        <v>8</v>
      </c>
      <c r="AP690" s="3">
        <v>8</v>
      </c>
      <c r="AR690" s="2" t="s">
        <v>2112</v>
      </c>
    </row>
    <row r="691" spans="1:44" ht="12.75" customHeight="1">
      <c r="A691" s="5">
        <v>41386</v>
      </c>
      <c r="C691" s="2" t="s">
        <v>305</v>
      </c>
      <c r="E691" s="18">
        <v>1</v>
      </c>
      <c r="F691" s="18">
        <v>5</v>
      </c>
      <c r="G691" s="18">
        <v>1</v>
      </c>
      <c r="H691" s="18">
        <v>4</v>
      </c>
      <c r="I691" s="18">
        <v>4</v>
      </c>
      <c r="T691" s="3">
        <f t="shared" si="25"/>
        <v>15</v>
      </c>
      <c r="U691" s="3">
        <v>8</v>
      </c>
      <c r="V691" s="3">
        <v>1</v>
      </c>
      <c r="X691" s="2" t="s">
        <v>2100</v>
      </c>
      <c r="Y691" s="18">
        <v>0</v>
      </c>
      <c r="Z691" s="18">
        <v>5</v>
      </c>
      <c r="AA691" s="18">
        <v>0</v>
      </c>
      <c r="AB691" s="18">
        <v>0</v>
      </c>
      <c r="AC691" s="18">
        <v>0</v>
      </c>
      <c r="AN691" s="3">
        <f t="shared" si="24"/>
        <v>5</v>
      </c>
      <c r="AO691" s="3">
        <v>12</v>
      </c>
      <c r="AP691" s="3">
        <v>5</v>
      </c>
      <c r="AR691" s="2" t="s">
        <v>2101</v>
      </c>
    </row>
    <row r="692" spans="1:44" ht="12.75" customHeight="1">
      <c r="A692" s="5">
        <v>41726</v>
      </c>
      <c r="B692" s="2" t="s">
        <v>152</v>
      </c>
      <c r="C692" s="2" t="s">
        <v>305</v>
      </c>
      <c r="E692" s="18">
        <v>0</v>
      </c>
      <c r="F692" s="18">
        <v>0</v>
      </c>
      <c r="G692" s="18">
        <v>0</v>
      </c>
      <c r="H692" s="18">
        <v>4</v>
      </c>
      <c r="I692" s="18">
        <v>2</v>
      </c>
      <c r="J692" s="18">
        <v>0</v>
      </c>
      <c r="T692" s="3">
        <f t="shared" si="25"/>
        <v>6</v>
      </c>
      <c r="U692" s="3">
        <v>10</v>
      </c>
      <c r="V692" s="3">
        <v>2</v>
      </c>
      <c r="X692" s="2" t="s">
        <v>2113</v>
      </c>
      <c r="Y692" s="18">
        <v>0</v>
      </c>
      <c r="Z692" s="18">
        <v>2</v>
      </c>
      <c r="AA692" s="18">
        <v>0</v>
      </c>
      <c r="AB692" s="18">
        <v>4</v>
      </c>
      <c r="AC692" s="18">
        <v>0</v>
      </c>
      <c r="AD692" s="18">
        <v>1</v>
      </c>
      <c r="AE692" s="18" t="s">
        <v>162</v>
      </c>
      <c r="AN692" s="3">
        <f t="shared" si="24"/>
        <v>7</v>
      </c>
      <c r="AO692" s="3">
        <v>6</v>
      </c>
      <c r="AP692" s="3">
        <v>0</v>
      </c>
      <c r="AR692" s="2" t="s">
        <v>2114</v>
      </c>
    </row>
    <row r="693" spans="1:44" ht="12.75" customHeight="1">
      <c r="A693" s="5">
        <v>41751</v>
      </c>
      <c r="C693" s="2" t="s">
        <v>305</v>
      </c>
      <c r="E693" s="18">
        <v>0</v>
      </c>
      <c r="F693" s="18">
        <v>0</v>
      </c>
      <c r="G693" s="18">
        <v>3</v>
      </c>
      <c r="H693" s="18">
        <v>0</v>
      </c>
      <c r="I693" s="18">
        <v>0</v>
      </c>
      <c r="J693" s="18">
        <v>5</v>
      </c>
      <c r="K693" s="18">
        <v>0</v>
      </c>
      <c r="T693" s="3">
        <f t="shared" si="25"/>
        <v>8</v>
      </c>
      <c r="U693" s="3">
        <v>4</v>
      </c>
      <c r="V693" s="3">
        <v>8</v>
      </c>
      <c r="X693" s="2" t="s">
        <v>2072</v>
      </c>
      <c r="Y693" s="18">
        <v>2</v>
      </c>
      <c r="Z693" s="18">
        <v>2</v>
      </c>
      <c r="AA693" s="18">
        <v>1</v>
      </c>
      <c r="AB693" s="18">
        <v>2</v>
      </c>
      <c r="AC693" s="18">
        <v>0</v>
      </c>
      <c r="AD693" s="18">
        <v>1</v>
      </c>
      <c r="AE693" s="18">
        <v>2</v>
      </c>
      <c r="AN693" s="3">
        <f t="shared" si="24"/>
        <v>10</v>
      </c>
      <c r="AO693" s="3">
        <v>12</v>
      </c>
      <c r="AP693" s="3">
        <v>3</v>
      </c>
      <c r="AR693" s="2" t="s">
        <v>2073</v>
      </c>
    </row>
    <row r="694" spans="1:44" ht="12.75" customHeight="1">
      <c r="A694" s="5">
        <v>42090</v>
      </c>
      <c r="B694" s="2" t="s">
        <v>152</v>
      </c>
      <c r="C694" s="2" t="s">
        <v>305</v>
      </c>
      <c r="E694" s="18">
        <v>0</v>
      </c>
      <c r="F694" s="18">
        <v>1</v>
      </c>
      <c r="G694" s="18">
        <v>0</v>
      </c>
      <c r="H694" s="18">
        <v>0</v>
      </c>
      <c r="I694" s="18">
        <v>0</v>
      </c>
      <c r="J694" s="18">
        <v>0</v>
      </c>
      <c r="K694" s="18">
        <v>5</v>
      </c>
      <c r="T694" s="3">
        <f t="shared" si="25"/>
        <v>6</v>
      </c>
      <c r="U694" s="3">
        <v>7</v>
      </c>
      <c r="V694" s="3">
        <v>1</v>
      </c>
      <c r="X694" s="2" t="s">
        <v>2065</v>
      </c>
      <c r="Y694" s="18">
        <v>0</v>
      </c>
      <c r="Z694" s="18">
        <v>2</v>
      </c>
      <c r="AA694" s="18">
        <v>0</v>
      </c>
      <c r="AB694" s="18">
        <v>2</v>
      </c>
      <c r="AC694" s="18">
        <v>0</v>
      </c>
      <c r="AD694" s="18">
        <v>0</v>
      </c>
      <c r="AE694" s="18">
        <v>0</v>
      </c>
      <c r="AN694" s="3">
        <f t="shared" si="24"/>
        <v>4</v>
      </c>
      <c r="AO694" s="3">
        <v>8</v>
      </c>
      <c r="AP694" s="3">
        <v>3</v>
      </c>
      <c r="AR694" s="2" t="s">
        <v>2117</v>
      </c>
    </row>
    <row r="695" spans="1:44" ht="12.75" customHeight="1">
      <c r="A695" s="5">
        <v>42115</v>
      </c>
      <c r="C695" s="2" t="s">
        <v>305</v>
      </c>
      <c r="E695" s="18">
        <v>1</v>
      </c>
      <c r="F695" s="18">
        <v>1</v>
      </c>
      <c r="G695" s="18">
        <v>0</v>
      </c>
      <c r="H695" s="18">
        <v>0</v>
      </c>
      <c r="I695" s="18">
        <v>2</v>
      </c>
      <c r="J695" s="18">
        <v>0</v>
      </c>
      <c r="K695" s="18" t="s">
        <v>162</v>
      </c>
      <c r="T695" s="3">
        <f t="shared" si="25"/>
        <v>4</v>
      </c>
      <c r="U695" s="3">
        <v>10</v>
      </c>
      <c r="V695" s="3">
        <v>2</v>
      </c>
      <c r="X695" s="2" t="s">
        <v>2115</v>
      </c>
      <c r="Y695" s="18">
        <v>0</v>
      </c>
      <c r="Z695" s="18">
        <v>0</v>
      </c>
      <c r="AA695" s="18">
        <v>2</v>
      </c>
      <c r="AB695" s="18">
        <v>0</v>
      </c>
      <c r="AC695" s="18">
        <v>1</v>
      </c>
      <c r="AD695" s="18">
        <v>0</v>
      </c>
      <c r="AE695" s="18">
        <v>0</v>
      </c>
      <c r="AN695" s="3">
        <f t="shared" si="24"/>
        <v>3</v>
      </c>
      <c r="AO695" s="3">
        <v>6</v>
      </c>
      <c r="AP695" s="3">
        <v>1</v>
      </c>
      <c r="AR695" s="2" t="s">
        <v>2123</v>
      </c>
    </row>
    <row r="696" spans="1:44" ht="12.75" customHeight="1">
      <c r="A696" s="5">
        <v>42461</v>
      </c>
      <c r="C696" s="2" t="s">
        <v>305</v>
      </c>
      <c r="E696" s="18">
        <v>0</v>
      </c>
      <c r="F696" s="18">
        <v>0</v>
      </c>
      <c r="G696" s="18">
        <v>1</v>
      </c>
      <c r="H696" s="18">
        <v>0</v>
      </c>
      <c r="I696" s="18">
        <v>2</v>
      </c>
      <c r="J696" s="18">
        <v>0</v>
      </c>
      <c r="K696" s="18" t="s">
        <v>162</v>
      </c>
      <c r="T696" s="3">
        <f t="shared" si="25"/>
        <v>3</v>
      </c>
      <c r="U696" s="3">
        <v>6</v>
      </c>
      <c r="V696" s="3">
        <v>2</v>
      </c>
      <c r="X696" s="2" t="s">
        <v>2142</v>
      </c>
      <c r="Y696" s="18">
        <v>0</v>
      </c>
      <c r="Z696" s="18">
        <v>1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N696" s="3">
        <f t="shared" si="24"/>
        <v>1</v>
      </c>
      <c r="AO696" s="3">
        <v>6</v>
      </c>
      <c r="AP696" s="3">
        <v>1</v>
      </c>
      <c r="AR696" s="2" t="s">
        <v>2143</v>
      </c>
    </row>
    <row r="697" spans="1:44" ht="12.75" customHeight="1">
      <c r="A697" s="5">
        <v>42486</v>
      </c>
      <c r="B697" s="2" t="s">
        <v>152</v>
      </c>
      <c r="C697" s="2" t="s">
        <v>305</v>
      </c>
      <c r="E697" s="18">
        <v>1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1</v>
      </c>
      <c r="T697" s="3">
        <f t="shared" si="25"/>
        <v>2</v>
      </c>
      <c r="U697" s="3">
        <v>7</v>
      </c>
      <c r="V697" s="3">
        <v>1</v>
      </c>
      <c r="X697" s="2" t="s">
        <v>2165</v>
      </c>
      <c r="Y697" s="18">
        <v>1</v>
      </c>
      <c r="Z697" s="18">
        <v>0</v>
      </c>
      <c r="AA697" s="18">
        <v>1</v>
      </c>
      <c r="AB697" s="18">
        <v>1</v>
      </c>
      <c r="AC697" s="18">
        <v>2</v>
      </c>
      <c r="AD697" s="18">
        <v>0</v>
      </c>
      <c r="AE697" s="18" t="s">
        <v>162</v>
      </c>
      <c r="AN697" s="3">
        <f t="shared" si="24"/>
        <v>5</v>
      </c>
      <c r="AO697" s="3">
        <v>8</v>
      </c>
      <c r="AP697" s="3">
        <v>1</v>
      </c>
      <c r="AR697" s="2" t="s">
        <v>2166</v>
      </c>
    </row>
    <row r="698" spans="1:44" ht="12.75" customHeight="1">
      <c r="A698" s="5">
        <v>42824</v>
      </c>
      <c r="B698" s="2" t="s">
        <v>152</v>
      </c>
      <c r="C698" s="2" t="s">
        <v>305</v>
      </c>
      <c r="E698" s="18">
        <v>0</v>
      </c>
      <c r="F698" s="18">
        <v>0</v>
      </c>
      <c r="G698" s="18">
        <v>3</v>
      </c>
      <c r="H698" s="18">
        <v>1</v>
      </c>
      <c r="I698" s="18">
        <v>3</v>
      </c>
      <c r="J698" s="18">
        <v>0</v>
      </c>
      <c r="T698" s="3">
        <f t="shared" si="25"/>
        <v>7</v>
      </c>
      <c r="U698" s="3">
        <v>4</v>
      </c>
      <c r="V698" s="3">
        <v>4</v>
      </c>
      <c r="X698" s="2" t="s">
        <v>2204</v>
      </c>
      <c r="Y698" s="18">
        <v>1</v>
      </c>
      <c r="Z698" s="18">
        <v>0</v>
      </c>
      <c r="AA698" s="18">
        <v>2</v>
      </c>
      <c r="AB698" s="18">
        <v>1</v>
      </c>
      <c r="AC698" s="18">
        <v>0</v>
      </c>
      <c r="AD698" s="18">
        <v>1</v>
      </c>
      <c r="AE698" s="18">
        <v>0</v>
      </c>
      <c r="AN698" s="3">
        <f t="shared" si="24"/>
        <v>5</v>
      </c>
      <c r="AO698" s="3">
        <v>8</v>
      </c>
      <c r="AP698" s="3">
        <v>2</v>
      </c>
      <c r="AR698" s="2" t="s">
        <v>2206</v>
      </c>
    </row>
    <row r="699" spans="1:44" ht="12.75" customHeight="1">
      <c r="A699" s="5">
        <v>42849</v>
      </c>
      <c r="C699" s="2" t="s">
        <v>305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2</v>
      </c>
      <c r="K699" s="18">
        <v>0</v>
      </c>
      <c r="T699" s="3">
        <f t="shared" si="25"/>
        <v>2</v>
      </c>
      <c r="U699" s="3">
        <v>3</v>
      </c>
      <c r="V699" s="3">
        <v>1</v>
      </c>
      <c r="X699" s="2" t="s">
        <v>2191</v>
      </c>
      <c r="Y699" s="18">
        <v>0</v>
      </c>
      <c r="Z699" s="18">
        <v>0</v>
      </c>
      <c r="AA699" s="18">
        <v>0</v>
      </c>
      <c r="AB699" s="18">
        <v>3</v>
      </c>
      <c r="AC699" s="18">
        <v>2</v>
      </c>
      <c r="AD699" s="18">
        <v>0</v>
      </c>
      <c r="AE699" s="18">
        <v>0</v>
      </c>
      <c r="AN699" s="3">
        <f t="shared" si="24"/>
        <v>5</v>
      </c>
      <c r="AO699" s="3">
        <v>6</v>
      </c>
      <c r="AP699" s="3">
        <v>1</v>
      </c>
      <c r="AR699" s="2" t="s">
        <v>2192</v>
      </c>
    </row>
    <row r="700" spans="1:44" ht="12.75" customHeight="1">
      <c r="A700" s="5">
        <v>43190</v>
      </c>
      <c r="C700" s="2" t="s">
        <v>305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1</v>
      </c>
      <c r="K700" s="18">
        <v>0</v>
      </c>
      <c r="T700" s="3">
        <f t="shared" si="25"/>
        <v>1</v>
      </c>
      <c r="U700" s="3">
        <v>1</v>
      </c>
      <c r="V700" s="3">
        <v>2</v>
      </c>
      <c r="X700" s="2" t="s">
        <v>2316</v>
      </c>
      <c r="Y700" s="18">
        <v>1</v>
      </c>
      <c r="Z700" s="18">
        <v>0</v>
      </c>
      <c r="AA700" s="18">
        <v>0</v>
      </c>
      <c r="AB700" s="18">
        <v>3</v>
      </c>
      <c r="AC700" s="18">
        <v>1</v>
      </c>
      <c r="AD700" s="18">
        <v>0</v>
      </c>
      <c r="AE700" s="18" t="s">
        <v>162</v>
      </c>
      <c r="AN700" s="3">
        <f t="shared" si="24"/>
        <v>5</v>
      </c>
      <c r="AO700" s="3">
        <v>5</v>
      </c>
      <c r="AP700" s="3">
        <v>1</v>
      </c>
      <c r="AR700" s="2" t="s">
        <v>2321</v>
      </c>
    </row>
    <row r="701" spans="1:44" ht="12.75" customHeight="1">
      <c r="A701" s="5">
        <v>43222</v>
      </c>
      <c r="C701" s="2" t="s">
        <v>305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2</v>
      </c>
      <c r="K701" s="18">
        <v>1</v>
      </c>
      <c r="T701" s="3">
        <f t="shared" si="25"/>
        <v>3</v>
      </c>
      <c r="U701" s="3">
        <v>5</v>
      </c>
      <c r="V701" s="3">
        <v>0</v>
      </c>
      <c r="X701" s="2" t="s">
        <v>2303</v>
      </c>
      <c r="Y701" s="18">
        <v>0</v>
      </c>
      <c r="Z701" s="18">
        <v>0</v>
      </c>
      <c r="AA701" s="18">
        <v>2</v>
      </c>
      <c r="AB701" s="18">
        <v>0</v>
      </c>
      <c r="AC701" s="18">
        <v>0</v>
      </c>
      <c r="AD701" s="18">
        <v>0</v>
      </c>
      <c r="AE701" s="18">
        <v>0</v>
      </c>
      <c r="AN701" s="3">
        <f t="shared" si="24"/>
        <v>2</v>
      </c>
      <c r="AO701" s="3">
        <v>6</v>
      </c>
      <c r="AP701" s="3">
        <v>0</v>
      </c>
      <c r="AR701" s="2" t="s">
        <v>2304</v>
      </c>
    </row>
    <row r="702" spans="1:44" ht="12.75" customHeight="1">
      <c r="A702" s="5">
        <v>43552</v>
      </c>
      <c r="B702" s="2" t="s">
        <v>152</v>
      </c>
      <c r="C702" s="2" t="s">
        <v>305</v>
      </c>
      <c r="E702" s="18">
        <v>3</v>
      </c>
      <c r="F702" s="18">
        <v>1</v>
      </c>
      <c r="G702" s="18">
        <v>0</v>
      </c>
      <c r="H702" s="18">
        <v>0</v>
      </c>
      <c r="I702" s="18">
        <v>1</v>
      </c>
      <c r="J702" s="18">
        <v>1</v>
      </c>
      <c r="K702" s="18">
        <v>0</v>
      </c>
      <c r="T702" s="3">
        <f t="shared" si="25"/>
        <v>6</v>
      </c>
      <c r="U702" s="3">
        <v>9</v>
      </c>
      <c r="V702" s="3">
        <v>3</v>
      </c>
      <c r="X702" s="2" t="s">
        <v>2238</v>
      </c>
      <c r="Y702" s="18">
        <v>2</v>
      </c>
      <c r="Z702" s="18">
        <v>0</v>
      </c>
      <c r="AA702" s="18">
        <v>4</v>
      </c>
      <c r="AB702" s="18">
        <v>0</v>
      </c>
      <c r="AC702" s="18">
        <v>0</v>
      </c>
      <c r="AD702" s="18">
        <v>2</v>
      </c>
      <c r="AE702" s="18" t="s">
        <v>162</v>
      </c>
      <c r="AN702" s="3">
        <f t="shared" si="24"/>
        <v>8</v>
      </c>
      <c r="AO702" s="3">
        <v>12</v>
      </c>
      <c r="AP702" s="3">
        <v>5</v>
      </c>
      <c r="AR702" s="2" t="s">
        <v>2285</v>
      </c>
    </row>
    <row r="703" spans="1:44" ht="12.75" customHeight="1">
      <c r="A703" s="5">
        <v>43578</v>
      </c>
      <c r="C703" s="2" t="s">
        <v>305</v>
      </c>
      <c r="E703" s="18">
        <v>0</v>
      </c>
      <c r="F703" s="18">
        <v>1</v>
      </c>
      <c r="G703" s="18">
        <v>0</v>
      </c>
      <c r="H703" s="18">
        <v>4</v>
      </c>
      <c r="I703" s="18">
        <v>0</v>
      </c>
      <c r="J703" s="18">
        <v>1</v>
      </c>
      <c r="K703" s="18" t="s">
        <v>162</v>
      </c>
      <c r="T703" s="3">
        <f t="shared" si="25"/>
        <v>6</v>
      </c>
      <c r="U703" s="3">
        <v>4</v>
      </c>
      <c r="V703" s="3">
        <v>3</v>
      </c>
      <c r="X703" s="2" t="s">
        <v>2279</v>
      </c>
      <c r="Y703" s="18">
        <v>1</v>
      </c>
      <c r="Z703" s="18">
        <v>0</v>
      </c>
      <c r="AA703" s="18">
        <v>1</v>
      </c>
      <c r="AB703" s="18">
        <v>1</v>
      </c>
      <c r="AC703" s="18">
        <v>0</v>
      </c>
      <c r="AD703" s="18">
        <v>0</v>
      </c>
      <c r="AE703" s="18">
        <v>1</v>
      </c>
      <c r="AN703" s="3">
        <f t="shared" si="24"/>
        <v>4</v>
      </c>
      <c r="AO703" s="3">
        <v>7</v>
      </c>
      <c r="AP703" s="3">
        <v>1</v>
      </c>
      <c r="AR703" s="2" t="s">
        <v>2278</v>
      </c>
    </row>
    <row r="704" spans="1:44" ht="12.75" customHeight="1">
      <c r="A704" s="5">
        <v>44300</v>
      </c>
      <c r="C704" s="2" t="s">
        <v>305</v>
      </c>
      <c r="E704" s="18">
        <v>0</v>
      </c>
      <c r="F704" s="18">
        <v>0</v>
      </c>
      <c r="G704" s="18">
        <v>1</v>
      </c>
      <c r="H704" s="18">
        <v>0</v>
      </c>
      <c r="I704" s="18">
        <v>0</v>
      </c>
      <c r="J704" s="18">
        <v>0</v>
      </c>
      <c r="K704" s="18" t="s">
        <v>162</v>
      </c>
      <c r="T704" s="3">
        <f t="shared" si="25"/>
        <v>1</v>
      </c>
      <c r="U704" s="3">
        <v>4</v>
      </c>
      <c r="V704" s="3">
        <v>2</v>
      </c>
      <c r="X704" s="2" t="s">
        <v>2231</v>
      </c>
      <c r="Y704" s="18">
        <v>0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  <c r="AE704" s="18">
        <v>0</v>
      </c>
      <c r="AN704" s="3">
        <f t="shared" si="24"/>
        <v>0</v>
      </c>
      <c r="AO704" s="3">
        <v>3</v>
      </c>
      <c r="AP704" s="3">
        <v>0</v>
      </c>
      <c r="AR704" s="2" t="s">
        <v>2292</v>
      </c>
    </row>
    <row r="705" spans="1:44" ht="12.75" customHeight="1">
      <c r="A705" s="5">
        <v>44328</v>
      </c>
      <c r="B705" s="2" t="s">
        <v>152</v>
      </c>
      <c r="C705" s="2" t="s">
        <v>305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1</v>
      </c>
      <c r="K705" s="18">
        <v>3</v>
      </c>
      <c r="T705" s="3">
        <f t="shared" si="25"/>
        <v>4</v>
      </c>
      <c r="U705" s="3">
        <v>7</v>
      </c>
      <c r="V705" s="3">
        <v>0</v>
      </c>
      <c r="X705" s="2" t="s">
        <v>2259</v>
      </c>
      <c r="Y705" s="18">
        <v>3</v>
      </c>
      <c r="Z705" s="18">
        <v>0</v>
      </c>
      <c r="AA705" s="18">
        <v>0</v>
      </c>
      <c r="AB705" s="18">
        <v>1</v>
      </c>
      <c r="AC705" s="18">
        <v>2</v>
      </c>
      <c r="AD705" s="18">
        <v>0</v>
      </c>
      <c r="AE705" s="18" t="s">
        <v>162</v>
      </c>
      <c r="AN705" s="3">
        <f t="shared" si="24"/>
        <v>6</v>
      </c>
      <c r="AO705" s="3">
        <v>6</v>
      </c>
      <c r="AP705" s="3">
        <v>4</v>
      </c>
      <c r="AR705" s="2" t="s">
        <v>2260</v>
      </c>
    </row>
    <row r="706" spans="1:44" ht="12.75">
      <c r="A706" s="5">
        <v>44690</v>
      </c>
      <c r="C706" s="2" t="s">
        <v>305</v>
      </c>
      <c r="E706" s="18">
        <v>0</v>
      </c>
      <c r="F706" s="18">
        <v>0</v>
      </c>
      <c r="G706" s="18">
        <v>2</v>
      </c>
      <c r="H706" s="18">
        <v>2</v>
      </c>
      <c r="I706" s="18">
        <v>0</v>
      </c>
      <c r="J706" s="18">
        <v>4</v>
      </c>
      <c r="K706" s="18" t="s">
        <v>162</v>
      </c>
      <c r="T706" s="3">
        <v>8</v>
      </c>
      <c r="U706" s="3">
        <v>10</v>
      </c>
      <c r="V706" s="3">
        <v>2</v>
      </c>
      <c r="X706" s="2" t="s">
        <v>2339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N706" s="3">
        <v>0</v>
      </c>
      <c r="AO706" s="3">
        <v>5</v>
      </c>
      <c r="AP706" s="3">
        <v>1</v>
      </c>
      <c r="AR706" s="2" t="s">
        <v>2357</v>
      </c>
    </row>
    <row r="707" spans="1:44" ht="12.75">
      <c r="A707" s="5">
        <v>44690</v>
      </c>
      <c r="C707" s="2" t="s">
        <v>305</v>
      </c>
      <c r="E707" s="18">
        <v>0</v>
      </c>
      <c r="F707" s="18">
        <v>1</v>
      </c>
      <c r="G707" s="18">
        <v>0</v>
      </c>
      <c r="H707" s="18">
        <v>5</v>
      </c>
      <c r="I707" s="18">
        <v>1</v>
      </c>
      <c r="J707" s="18">
        <v>0</v>
      </c>
      <c r="K707" s="18">
        <v>1</v>
      </c>
      <c r="T707" s="3">
        <v>8</v>
      </c>
      <c r="U707" s="3">
        <v>9</v>
      </c>
      <c r="V707" s="3">
        <v>1</v>
      </c>
      <c r="X707" s="2" t="s">
        <v>2347</v>
      </c>
      <c r="Y707" s="18">
        <v>1</v>
      </c>
      <c r="Z707" s="18">
        <v>0</v>
      </c>
      <c r="AA707" s="18">
        <v>0</v>
      </c>
      <c r="AB707" s="18">
        <v>0</v>
      </c>
      <c r="AC707" s="18">
        <v>1</v>
      </c>
      <c r="AD707" s="18">
        <v>2</v>
      </c>
      <c r="AE707" s="18">
        <v>0</v>
      </c>
      <c r="AN707" s="3">
        <v>4</v>
      </c>
      <c r="AO707" s="3">
        <v>10</v>
      </c>
      <c r="AP707" s="3">
        <v>1</v>
      </c>
      <c r="AR707" s="2" t="s">
        <v>2358</v>
      </c>
    </row>
    <row r="708" spans="1:44" ht="12.75" customHeight="1">
      <c r="A708" s="4">
        <f>DATE(90,6,12)</f>
        <v>33036</v>
      </c>
      <c r="B708" s="2" t="s">
        <v>239</v>
      </c>
      <c r="C708" s="2" t="s">
        <v>392</v>
      </c>
      <c r="D708" s="2" t="s">
        <v>260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3</v>
      </c>
      <c r="K708" s="18">
        <v>0</v>
      </c>
      <c r="T708" s="3">
        <v>3</v>
      </c>
      <c r="U708" s="3">
        <v>5</v>
      </c>
      <c r="V708" s="3">
        <v>2</v>
      </c>
      <c r="X708" s="2" t="s">
        <v>1712</v>
      </c>
      <c r="Y708" s="18">
        <v>0</v>
      </c>
      <c r="Z708" s="18">
        <v>4</v>
      </c>
      <c r="AA708" s="18">
        <v>0</v>
      </c>
      <c r="AB708" s="18">
        <v>1</v>
      </c>
      <c r="AC708" s="18">
        <v>4</v>
      </c>
      <c r="AD708" s="18">
        <v>0</v>
      </c>
      <c r="AE708" s="18" t="s">
        <v>162</v>
      </c>
      <c r="AN708" s="3">
        <v>9</v>
      </c>
      <c r="AO708" s="3">
        <v>10</v>
      </c>
      <c r="AP708" s="3">
        <v>0</v>
      </c>
      <c r="AR708" s="2" t="s">
        <v>1713</v>
      </c>
    </row>
    <row r="709" spans="1:44" ht="12.75" customHeight="1">
      <c r="A709" s="4">
        <f>DATE(91,4,8)</f>
        <v>33336</v>
      </c>
      <c r="C709" s="2" t="s">
        <v>392</v>
      </c>
      <c r="E709" s="18">
        <v>0</v>
      </c>
      <c r="F709" s="18">
        <v>5</v>
      </c>
      <c r="G709" s="18">
        <v>2</v>
      </c>
      <c r="H709" s="18">
        <v>0</v>
      </c>
      <c r="I709" s="18">
        <v>0</v>
      </c>
      <c r="J709" s="18">
        <v>3</v>
      </c>
      <c r="K709" s="18" t="s">
        <v>162</v>
      </c>
      <c r="T709" s="3">
        <v>10</v>
      </c>
      <c r="U709" s="3">
        <v>9</v>
      </c>
      <c r="V709" s="3">
        <v>3</v>
      </c>
      <c r="X709" s="2" t="s">
        <v>1722</v>
      </c>
      <c r="Y709" s="18">
        <v>0</v>
      </c>
      <c r="Z709" s="18">
        <v>2</v>
      </c>
      <c r="AA709" s="18">
        <v>1</v>
      </c>
      <c r="AB709" s="18">
        <v>0</v>
      </c>
      <c r="AC709" s="18">
        <v>0</v>
      </c>
      <c r="AD709" s="18">
        <v>0</v>
      </c>
      <c r="AE709" s="18">
        <v>0</v>
      </c>
      <c r="AN709" s="3">
        <v>3</v>
      </c>
      <c r="AO709" s="3">
        <v>6</v>
      </c>
      <c r="AP709" s="3">
        <v>0</v>
      </c>
      <c r="AR709" s="2" t="s">
        <v>1723</v>
      </c>
    </row>
    <row r="710" spans="1:44" ht="12.75" customHeight="1">
      <c r="A710" s="4">
        <f>DATE(91,5,7)</f>
        <v>33365</v>
      </c>
      <c r="B710" s="2" t="s">
        <v>152</v>
      </c>
      <c r="C710" s="2" t="s">
        <v>392</v>
      </c>
      <c r="E710" s="18">
        <v>1</v>
      </c>
      <c r="F710" s="18">
        <v>0</v>
      </c>
      <c r="G710" s="18">
        <v>1</v>
      </c>
      <c r="H710" s="18">
        <v>0</v>
      </c>
      <c r="I710" s="18">
        <v>1</v>
      </c>
      <c r="J710" s="18">
        <v>3</v>
      </c>
      <c r="K710" s="18">
        <v>0</v>
      </c>
      <c r="T710" s="3">
        <v>6</v>
      </c>
      <c r="U710" s="3">
        <v>7</v>
      </c>
      <c r="V710" s="3">
        <v>1</v>
      </c>
      <c r="X710" s="2" t="s">
        <v>1722</v>
      </c>
      <c r="Y710" s="18">
        <v>0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  <c r="AE710" s="18">
        <v>0</v>
      </c>
      <c r="AN710" s="3">
        <v>0</v>
      </c>
      <c r="AO710" s="3">
        <v>4</v>
      </c>
      <c r="AP710" s="3">
        <v>1</v>
      </c>
      <c r="AR710" s="2" t="s">
        <v>1738</v>
      </c>
    </row>
    <row r="711" spans="1:44" ht="12.75" customHeight="1">
      <c r="A711" s="4">
        <f>DATE(92,4,20)</f>
        <v>33714</v>
      </c>
      <c r="B711" s="2" t="s">
        <v>152</v>
      </c>
      <c r="C711" s="2" t="s">
        <v>392</v>
      </c>
      <c r="E711" s="18">
        <v>0</v>
      </c>
      <c r="F711" s="18">
        <v>0</v>
      </c>
      <c r="G711" s="18">
        <v>1</v>
      </c>
      <c r="H711" s="18">
        <v>1</v>
      </c>
      <c r="I711" s="18">
        <v>3</v>
      </c>
      <c r="J711" s="18">
        <v>0</v>
      </c>
      <c r="K711" s="18">
        <v>0</v>
      </c>
      <c r="T711" s="3">
        <v>5</v>
      </c>
      <c r="U711" s="3">
        <v>9</v>
      </c>
      <c r="V711" s="3">
        <v>2</v>
      </c>
      <c r="X711" s="2" t="s">
        <v>1730</v>
      </c>
      <c r="Y711" s="18">
        <v>0</v>
      </c>
      <c r="Z711" s="18">
        <v>0</v>
      </c>
      <c r="AA711" s="18">
        <v>0</v>
      </c>
      <c r="AB711" s="18">
        <v>3</v>
      </c>
      <c r="AC711" s="18">
        <v>2</v>
      </c>
      <c r="AD711" s="18">
        <v>0</v>
      </c>
      <c r="AE711" s="18">
        <v>1</v>
      </c>
      <c r="AN711" s="3">
        <f aca="true" t="shared" si="26" ref="AN711:AN731">SUM(Y711:AM711)</f>
        <v>6</v>
      </c>
      <c r="AO711" s="3">
        <v>6</v>
      </c>
      <c r="AP711" s="3">
        <v>1</v>
      </c>
      <c r="AR711" s="2" t="s">
        <v>1789</v>
      </c>
    </row>
    <row r="712" spans="1:44" ht="12.75" customHeight="1">
      <c r="A712" s="4">
        <f>DATE(93,4,8)</f>
        <v>34067</v>
      </c>
      <c r="C712" s="2" t="s">
        <v>392</v>
      </c>
      <c r="E712" s="18">
        <v>0</v>
      </c>
      <c r="F712" s="18">
        <v>1</v>
      </c>
      <c r="G712" s="18">
        <v>0</v>
      </c>
      <c r="H712" s="18">
        <v>3</v>
      </c>
      <c r="I712" s="18">
        <v>6</v>
      </c>
      <c r="J712" s="18">
        <v>1</v>
      </c>
      <c r="K712" s="18" t="s">
        <v>162</v>
      </c>
      <c r="T712" s="3">
        <f aca="true" t="shared" si="27" ref="T712:T731">SUM(E712:S712)</f>
        <v>11</v>
      </c>
      <c r="U712" s="3">
        <v>13</v>
      </c>
      <c r="V712" s="3">
        <v>4</v>
      </c>
      <c r="X712" s="2" t="s">
        <v>1815</v>
      </c>
      <c r="Y712" s="18">
        <v>0</v>
      </c>
      <c r="Z712" s="18">
        <v>0</v>
      </c>
      <c r="AA712" s="18">
        <v>0</v>
      </c>
      <c r="AB712" s="18">
        <v>6</v>
      </c>
      <c r="AC712" s="18">
        <v>0</v>
      </c>
      <c r="AD712" s="18">
        <v>0</v>
      </c>
      <c r="AE712" s="18">
        <v>0</v>
      </c>
      <c r="AN712" s="3">
        <f t="shared" si="26"/>
        <v>6</v>
      </c>
      <c r="AO712" s="3">
        <v>5</v>
      </c>
      <c r="AP712" s="3">
        <v>3</v>
      </c>
      <c r="AR712" s="2" t="s">
        <v>1816</v>
      </c>
    </row>
    <row r="713" spans="1:44" ht="12.75" customHeight="1">
      <c r="A713" s="4">
        <f>DATE(93,5,6)</f>
        <v>34095</v>
      </c>
      <c r="B713" s="2" t="s">
        <v>152</v>
      </c>
      <c r="C713" s="2" t="s">
        <v>392</v>
      </c>
      <c r="E713" s="18">
        <v>0</v>
      </c>
      <c r="F713" s="18">
        <v>0</v>
      </c>
      <c r="G713" s="18">
        <v>1</v>
      </c>
      <c r="H713" s="18">
        <v>0</v>
      </c>
      <c r="I713" s="18">
        <v>0</v>
      </c>
      <c r="J713" s="18">
        <v>1</v>
      </c>
      <c r="K713" s="18">
        <v>1</v>
      </c>
      <c r="L713" s="18">
        <v>0</v>
      </c>
      <c r="T713" s="3">
        <f t="shared" si="27"/>
        <v>3</v>
      </c>
      <c r="U713" s="3">
        <v>8</v>
      </c>
      <c r="V713" s="3">
        <v>2</v>
      </c>
      <c r="X713" s="2" t="s">
        <v>1831</v>
      </c>
      <c r="Y713" s="18">
        <v>0</v>
      </c>
      <c r="Z713" s="18">
        <v>0</v>
      </c>
      <c r="AA713" s="18">
        <v>0</v>
      </c>
      <c r="AB713" s="18">
        <v>0</v>
      </c>
      <c r="AC713" s="18">
        <v>0</v>
      </c>
      <c r="AD713" s="18">
        <v>3</v>
      </c>
      <c r="AE713" s="18">
        <v>0</v>
      </c>
      <c r="AF713" s="18">
        <v>1</v>
      </c>
      <c r="AN713" s="3">
        <f t="shared" si="26"/>
        <v>4</v>
      </c>
      <c r="AO713" s="3">
        <v>7</v>
      </c>
      <c r="AP713" s="3">
        <v>2</v>
      </c>
      <c r="AR713" s="2" t="s">
        <v>1832</v>
      </c>
    </row>
    <row r="714" spans="1:44" ht="12.75" customHeight="1">
      <c r="A714" s="4">
        <f>DATE(94,4,21)</f>
        <v>34445</v>
      </c>
      <c r="C714" s="2" t="s">
        <v>392</v>
      </c>
      <c r="E714" s="18">
        <v>0</v>
      </c>
      <c r="F714" s="18">
        <v>1</v>
      </c>
      <c r="G714" s="18">
        <v>0</v>
      </c>
      <c r="H714" s="18">
        <v>0</v>
      </c>
      <c r="I714" s="18">
        <v>3</v>
      </c>
      <c r="J714" s="18">
        <v>0</v>
      </c>
      <c r="K714" s="18">
        <v>5</v>
      </c>
      <c r="L714" s="18">
        <v>4</v>
      </c>
      <c r="T714" s="3">
        <f t="shared" si="27"/>
        <v>13</v>
      </c>
      <c r="U714" s="3">
        <v>8</v>
      </c>
      <c r="V714" s="3">
        <v>5</v>
      </c>
      <c r="X714" s="2" t="s">
        <v>1858</v>
      </c>
      <c r="Y714" s="18">
        <v>2</v>
      </c>
      <c r="Z714" s="18">
        <v>1</v>
      </c>
      <c r="AA714" s="18">
        <v>0</v>
      </c>
      <c r="AB714" s="18">
        <v>6</v>
      </c>
      <c r="AC714" s="18">
        <v>0</v>
      </c>
      <c r="AD714" s="18">
        <v>0</v>
      </c>
      <c r="AE714" s="18">
        <v>0</v>
      </c>
      <c r="AF714" s="18">
        <v>3</v>
      </c>
      <c r="AN714" s="3">
        <f t="shared" si="26"/>
        <v>12</v>
      </c>
      <c r="AO714" s="3">
        <v>7</v>
      </c>
      <c r="AP714" s="3">
        <v>2</v>
      </c>
      <c r="AR714" s="2" t="s">
        <v>1859</v>
      </c>
    </row>
    <row r="715" spans="1:44" ht="12.75" customHeight="1">
      <c r="A715" s="4">
        <f>DATE(95,4,13)</f>
        <v>34802</v>
      </c>
      <c r="C715" s="2" t="s">
        <v>392</v>
      </c>
      <c r="E715" s="18">
        <v>2</v>
      </c>
      <c r="F715" s="18">
        <v>0</v>
      </c>
      <c r="G715" s="18">
        <v>0</v>
      </c>
      <c r="H715" s="18">
        <v>1</v>
      </c>
      <c r="I715" s="18">
        <v>0</v>
      </c>
      <c r="J715" s="18">
        <v>0</v>
      </c>
      <c r="K715" s="18">
        <v>0</v>
      </c>
      <c r="L715" s="18">
        <v>0</v>
      </c>
      <c r="T715" s="3">
        <f t="shared" si="27"/>
        <v>3</v>
      </c>
      <c r="U715" s="3">
        <v>4</v>
      </c>
      <c r="V715" s="3">
        <v>2</v>
      </c>
      <c r="X715" s="2" t="s">
        <v>1884</v>
      </c>
      <c r="Y715" s="18">
        <v>0</v>
      </c>
      <c r="Z715" s="18">
        <v>0</v>
      </c>
      <c r="AA715" s="18">
        <v>0</v>
      </c>
      <c r="AB715" s="18">
        <v>0</v>
      </c>
      <c r="AC715" s="18">
        <v>2</v>
      </c>
      <c r="AD715" s="18">
        <v>0</v>
      </c>
      <c r="AE715" s="18">
        <v>1</v>
      </c>
      <c r="AF715" s="18">
        <v>1</v>
      </c>
      <c r="AN715" s="3">
        <f t="shared" si="26"/>
        <v>4</v>
      </c>
      <c r="AO715" s="3">
        <v>6</v>
      </c>
      <c r="AP715" s="3">
        <v>0</v>
      </c>
      <c r="AR715" s="2" t="s">
        <v>1885</v>
      </c>
    </row>
    <row r="716" spans="1:44" ht="12.75" customHeight="1">
      <c r="A716" s="4">
        <f>DATE(95,5,3)</f>
        <v>34822</v>
      </c>
      <c r="B716" s="2" t="s">
        <v>152</v>
      </c>
      <c r="C716" s="2" t="s">
        <v>392</v>
      </c>
      <c r="E716" s="18">
        <v>0</v>
      </c>
      <c r="F716" s="18">
        <v>2</v>
      </c>
      <c r="G716" s="18">
        <v>0</v>
      </c>
      <c r="H716" s="18">
        <v>3</v>
      </c>
      <c r="I716" s="18">
        <v>0</v>
      </c>
      <c r="J716" s="18">
        <v>0</v>
      </c>
      <c r="K716" s="18">
        <v>1</v>
      </c>
      <c r="T716" s="3">
        <f t="shared" si="27"/>
        <v>6</v>
      </c>
      <c r="U716" s="3">
        <v>10</v>
      </c>
      <c r="V716" s="3">
        <v>2</v>
      </c>
      <c r="X716" s="2" t="s">
        <v>1896</v>
      </c>
      <c r="Y716" s="18">
        <v>0</v>
      </c>
      <c r="Z716" s="18">
        <v>2</v>
      </c>
      <c r="AA716" s="18">
        <v>3</v>
      </c>
      <c r="AB716" s="18">
        <v>0</v>
      </c>
      <c r="AC716" s="18">
        <v>2</v>
      </c>
      <c r="AD716" s="18">
        <v>1</v>
      </c>
      <c r="AE716" s="18" t="s">
        <v>162</v>
      </c>
      <c r="AN716" s="3">
        <f t="shared" si="26"/>
        <v>8</v>
      </c>
      <c r="AO716" s="3">
        <v>10</v>
      </c>
      <c r="AP716" s="3">
        <v>3</v>
      </c>
      <c r="AR716" s="2" t="s">
        <v>1897</v>
      </c>
    </row>
    <row r="717" spans="1:44" ht="12.75" customHeight="1">
      <c r="A717" s="4">
        <v>35167</v>
      </c>
      <c r="C717" s="2" t="s">
        <v>392</v>
      </c>
      <c r="E717" s="18">
        <v>0</v>
      </c>
      <c r="F717" s="18">
        <v>0</v>
      </c>
      <c r="G717" s="18">
        <v>3</v>
      </c>
      <c r="H717" s="18">
        <v>1</v>
      </c>
      <c r="I717" s="18">
        <v>0</v>
      </c>
      <c r="J717" s="18">
        <v>1</v>
      </c>
      <c r="K717" s="18">
        <v>0</v>
      </c>
      <c r="T717" s="3">
        <f t="shared" si="27"/>
        <v>5</v>
      </c>
      <c r="U717" s="3">
        <v>7</v>
      </c>
      <c r="V717" s="3">
        <v>1</v>
      </c>
      <c r="X717" s="2" t="s">
        <v>432</v>
      </c>
      <c r="Y717" s="18">
        <v>0</v>
      </c>
      <c r="Z717" s="18">
        <v>1</v>
      </c>
      <c r="AA717" s="18">
        <v>0</v>
      </c>
      <c r="AB717" s="18">
        <v>1</v>
      </c>
      <c r="AC717" s="18">
        <v>3</v>
      </c>
      <c r="AD717" s="18">
        <v>2</v>
      </c>
      <c r="AE717" s="18">
        <v>2</v>
      </c>
      <c r="AN717" s="3">
        <f t="shared" si="26"/>
        <v>9</v>
      </c>
      <c r="AO717" s="3">
        <v>11</v>
      </c>
      <c r="AP717" s="3">
        <v>1</v>
      </c>
      <c r="AR717" s="2" t="s">
        <v>1276</v>
      </c>
    </row>
    <row r="718" spans="1:44" ht="12.75" customHeight="1">
      <c r="A718" s="4">
        <v>35192</v>
      </c>
      <c r="B718" s="2" t="s">
        <v>152</v>
      </c>
      <c r="C718" s="2" t="s">
        <v>392</v>
      </c>
      <c r="E718" s="18">
        <v>1</v>
      </c>
      <c r="F718" s="18">
        <v>0</v>
      </c>
      <c r="G718" s="18">
        <v>0</v>
      </c>
      <c r="H718" s="18">
        <v>0</v>
      </c>
      <c r="I718" s="18">
        <v>0</v>
      </c>
      <c r="J718" s="18">
        <v>3</v>
      </c>
      <c r="K718" s="18">
        <v>0</v>
      </c>
      <c r="L718" s="18">
        <v>0</v>
      </c>
      <c r="M718" s="18">
        <v>0</v>
      </c>
      <c r="N718" s="18">
        <v>0</v>
      </c>
      <c r="T718" s="3">
        <f t="shared" si="27"/>
        <v>4</v>
      </c>
      <c r="U718" s="3">
        <v>8</v>
      </c>
      <c r="V718" s="3">
        <v>4</v>
      </c>
      <c r="X718" s="2" t="s">
        <v>1270</v>
      </c>
      <c r="Y718" s="18">
        <v>1</v>
      </c>
      <c r="Z718" s="18">
        <v>1</v>
      </c>
      <c r="AA718" s="18">
        <v>2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1</v>
      </c>
      <c r="AN718" s="3">
        <f t="shared" si="26"/>
        <v>5</v>
      </c>
      <c r="AO718" s="3">
        <v>8</v>
      </c>
      <c r="AP718" s="3">
        <v>2</v>
      </c>
      <c r="AR718" s="2" t="s">
        <v>2382</v>
      </c>
    </row>
    <row r="719" spans="1:44" ht="12.75" customHeight="1">
      <c r="A719" s="9">
        <f>DATE(1997,4,21)</f>
        <v>35541</v>
      </c>
      <c r="B719" s="2" t="s">
        <v>152</v>
      </c>
      <c r="C719" s="2" t="s">
        <v>392</v>
      </c>
      <c r="E719" s="18">
        <v>0</v>
      </c>
      <c r="F719" s="18">
        <v>0</v>
      </c>
      <c r="G719" s="18">
        <v>3</v>
      </c>
      <c r="H719" s="18">
        <v>5</v>
      </c>
      <c r="I719" s="18">
        <v>0</v>
      </c>
      <c r="J719" s="18">
        <v>0</v>
      </c>
      <c r="K719" s="18">
        <v>0</v>
      </c>
      <c r="T719" s="3">
        <f t="shared" si="27"/>
        <v>8</v>
      </c>
      <c r="U719" s="3">
        <v>8</v>
      </c>
      <c r="V719" s="3">
        <v>3</v>
      </c>
      <c r="X719" s="2" t="s">
        <v>432</v>
      </c>
      <c r="Y719" s="18">
        <v>0</v>
      </c>
      <c r="Z719" s="18">
        <v>2</v>
      </c>
      <c r="AA719" s="18">
        <v>0</v>
      </c>
      <c r="AB719" s="18">
        <v>0</v>
      </c>
      <c r="AC719" s="18">
        <v>0</v>
      </c>
      <c r="AD719" s="18">
        <v>3</v>
      </c>
      <c r="AE719" s="18">
        <v>0</v>
      </c>
      <c r="AN719" s="3">
        <f t="shared" si="26"/>
        <v>5</v>
      </c>
      <c r="AO719" s="3">
        <v>9</v>
      </c>
      <c r="AP719" s="3">
        <v>3</v>
      </c>
      <c r="AR719" s="2" t="s">
        <v>439</v>
      </c>
    </row>
    <row r="720" spans="1:44" ht="12.75" customHeight="1">
      <c r="A720" s="4">
        <v>35892</v>
      </c>
      <c r="C720" s="2" t="s">
        <v>392</v>
      </c>
      <c r="E720" s="18">
        <v>1</v>
      </c>
      <c r="F720" s="18">
        <v>0</v>
      </c>
      <c r="G720" s="18">
        <v>2</v>
      </c>
      <c r="H720" s="18">
        <v>0</v>
      </c>
      <c r="I720" s="18">
        <v>1</v>
      </c>
      <c r="J720" s="18">
        <v>0</v>
      </c>
      <c r="K720" s="18" t="s">
        <v>162</v>
      </c>
      <c r="T720" s="3">
        <f t="shared" si="27"/>
        <v>4</v>
      </c>
      <c r="U720" s="3">
        <v>8</v>
      </c>
      <c r="V720" s="3">
        <v>4</v>
      </c>
      <c r="X720" s="2" t="s">
        <v>502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1</v>
      </c>
      <c r="AN720" s="3">
        <f t="shared" si="26"/>
        <v>1</v>
      </c>
      <c r="AO720" s="3">
        <v>5</v>
      </c>
      <c r="AP720" s="3">
        <v>1</v>
      </c>
      <c r="AR720" s="2" t="s">
        <v>2000</v>
      </c>
    </row>
    <row r="721" spans="1:44" ht="12.75" customHeight="1">
      <c r="A721" s="4">
        <v>35929</v>
      </c>
      <c r="B721" s="2" t="s">
        <v>152</v>
      </c>
      <c r="C721" s="2" t="s">
        <v>392</v>
      </c>
      <c r="E721" s="18">
        <v>0</v>
      </c>
      <c r="F721" s="18">
        <v>0</v>
      </c>
      <c r="G721" s="18">
        <v>0</v>
      </c>
      <c r="H721" s="18">
        <v>1</v>
      </c>
      <c r="I721" s="18">
        <v>0</v>
      </c>
      <c r="J721" s="18">
        <v>1</v>
      </c>
      <c r="K721" s="18">
        <v>0</v>
      </c>
      <c r="T721" s="3">
        <f t="shared" si="27"/>
        <v>2</v>
      </c>
      <c r="U721" s="3">
        <v>7</v>
      </c>
      <c r="V721" s="3">
        <v>2</v>
      </c>
      <c r="X721" s="2" t="s">
        <v>564</v>
      </c>
      <c r="Y721" s="18">
        <v>1</v>
      </c>
      <c r="Z721" s="18">
        <v>4</v>
      </c>
      <c r="AA721" s="18">
        <v>0</v>
      </c>
      <c r="AB721" s="18">
        <v>0</v>
      </c>
      <c r="AC721" s="18">
        <v>1</v>
      </c>
      <c r="AD721" s="18">
        <v>3</v>
      </c>
      <c r="AE721" s="18" t="s">
        <v>162</v>
      </c>
      <c r="AN721" s="3">
        <f t="shared" si="26"/>
        <v>9</v>
      </c>
      <c r="AO721" s="3">
        <v>11</v>
      </c>
      <c r="AP721" s="3">
        <v>0</v>
      </c>
      <c r="AR721" s="2" t="s">
        <v>2011</v>
      </c>
    </row>
    <row r="722" spans="1:44" ht="12.75" customHeight="1">
      <c r="A722" s="5">
        <v>36258</v>
      </c>
      <c r="C722" s="2" t="s">
        <v>392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1</v>
      </c>
      <c r="K722" s="18">
        <v>1</v>
      </c>
      <c r="T722" s="3">
        <f t="shared" si="27"/>
        <v>2</v>
      </c>
      <c r="U722" s="3">
        <v>9</v>
      </c>
      <c r="V722" s="3">
        <v>0</v>
      </c>
      <c r="X722" s="2" t="s">
        <v>1908</v>
      </c>
      <c r="Y722" s="18">
        <v>0</v>
      </c>
      <c r="Z722" s="18">
        <v>4</v>
      </c>
      <c r="AA722" s="18">
        <v>0</v>
      </c>
      <c r="AB722" s="18">
        <v>2</v>
      </c>
      <c r="AC722" s="18">
        <v>0</v>
      </c>
      <c r="AD722" s="18">
        <v>0</v>
      </c>
      <c r="AE722" s="18" t="s">
        <v>162</v>
      </c>
      <c r="AN722" s="3">
        <f t="shared" si="26"/>
        <v>6</v>
      </c>
      <c r="AO722" s="3">
        <v>8</v>
      </c>
      <c r="AP722" s="3">
        <v>0</v>
      </c>
      <c r="AR722" s="2" t="s">
        <v>607</v>
      </c>
    </row>
    <row r="723" spans="1:44" ht="12.75" customHeight="1">
      <c r="A723" s="4">
        <v>36622</v>
      </c>
      <c r="C723" s="2" t="s">
        <v>392</v>
      </c>
      <c r="E723" s="18">
        <v>0</v>
      </c>
      <c r="F723" s="18">
        <v>2</v>
      </c>
      <c r="G723" s="18">
        <v>7</v>
      </c>
      <c r="H723" s="18">
        <v>1</v>
      </c>
      <c r="I723" s="18">
        <v>0</v>
      </c>
      <c r="T723" s="3">
        <f t="shared" si="27"/>
        <v>10</v>
      </c>
      <c r="U723" s="3">
        <v>11</v>
      </c>
      <c r="V723" s="3">
        <v>4</v>
      </c>
      <c r="X723" s="2" t="s">
        <v>1915</v>
      </c>
      <c r="Y723" s="18">
        <v>2</v>
      </c>
      <c r="Z723" s="18">
        <v>2</v>
      </c>
      <c r="AA723" s="18">
        <v>2</v>
      </c>
      <c r="AB723" s="18">
        <v>0</v>
      </c>
      <c r="AC723" s="18">
        <v>15</v>
      </c>
      <c r="AN723" s="3">
        <f t="shared" si="26"/>
        <v>21</v>
      </c>
      <c r="AO723" s="3">
        <v>13</v>
      </c>
      <c r="AP723" s="3">
        <v>1</v>
      </c>
      <c r="AR723" s="2" t="s">
        <v>1916</v>
      </c>
    </row>
    <row r="724" spans="1:44" ht="12.75" customHeight="1">
      <c r="A724" s="5">
        <v>36984</v>
      </c>
      <c r="B724" s="2" t="s">
        <v>152</v>
      </c>
      <c r="C724" s="2" t="s">
        <v>392</v>
      </c>
      <c r="E724" s="18">
        <v>0</v>
      </c>
      <c r="F724" s="18">
        <v>3</v>
      </c>
      <c r="G724" s="18">
        <v>2</v>
      </c>
      <c r="H724" s="18">
        <v>7</v>
      </c>
      <c r="I724" s="18">
        <v>2</v>
      </c>
      <c r="T724" s="3">
        <f t="shared" si="27"/>
        <v>14</v>
      </c>
      <c r="U724" s="3">
        <v>9</v>
      </c>
      <c r="V724" s="3">
        <v>2</v>
      </c>
      <c r="X724" s="2" t="s">
        <v>1920</v>
      </c>
      <c r="Y724" s="18">
        <v>0</v>
      </c>
      <c r="Z724" s="18">
        <v>0</v>
      </c>
      <c r="AA724" s="18">
        <v>0</v>
      </c>
      <c r="AB724" s="18">
        <v>0</v>
      </c>
      <c r="AC724" s="18">
        <v>3</v>
      </c>
      <c r="AN724" s="3">
        <f t="shared" si="26"/>
        <v>3</v>
      </c>
      <c r="AO724" s="3">
        <v>3</v>
      </c>
      <c r="AP724" s="3">
        <v>5</v>
      </c>
      <c r="AR724" s="2" t="s">
        <v>96</v>
      </c>
    </row>
    <row r="725" spans="1:44" ht="12.75" customHeight="1">
      <c r="A725" s="8">
        <v>37350</v>
      </c>
      <c r="C725" s="2" t="s">
        <v>392</v>
      </c>
      <c r="E725" s="18">
        <v>1</v>
      </c>
      <c r="F725" s="18">
        <v>0</v>
      </c>
      <c r="G725" s="18">
        <v>1</v>
      </c>
      <c r="H725" s="18">
        <v>1</v>
      </c>
      <c r="I725" s="18">
        <v>1</v>
      </c>
      <c r="J725" s="18">
        <v>5</v>
      </c>
      <c r="K725" s="18" t="s">
        <v>162</v>
      </c>
      <c r="T725" s="3">
        <f t="shared" si="27"/>
        <v>9</v>
      </c>
      <c r="U725" s="3">
        <v>11</v>
      </c>
      <c r="V725" s="3">
        <v>3</v>
      </c>
      <c r="X725" s="2" t="s">
        <v>99</v>
      </c>
      <c r="Y725" s="18">
        <v>3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N725" s="3">
        <f t="shared" si="26"/>
        <v>3</v>
      </c>
      <c r="AO725" s="3">
        <v>5</v>
      </c>
      <c r="AP725" s="3">
        <v>1</v>
      </c>
      <c r="AR725" s="2" t="s">
        <v>1424</v>
      </c>
    </row>
    <row r="726" spans="1:44" ht="12.75" customHeight="1">
      <c r="A726" s="8">
        <v>37713</v>
      </c>
      <c r="B726" s="2" t="s">
        <v>152</v>
      </c>
      <c r="C726" s="2" t="s">
        <v>392</v>
      </c>
      <c r="E726" s="18">
        <v>0</v>
      </c>
      <c r="F726" s="18">
        <v>0</v>
      </c>
      <c r="G726" s="18">
        <v>0</v>
      </c>
      <c r="H726" s="18">
        <v>2</v>
      </c>
      <c r="I726" s="18">
        <v>0</v>
      </c>
      <c r="J726" s="18">
        <v>0</v>
      </c>
      <c r="K726" s="18">
        <v>5</v>
      </c>
      <c r="T726" s="3">
        <f t="shared" si="27"/>
        <v>7</v>
      </c>
      <c r="U726" s="3">
        <v>10</v>
      </c>
      <c r="V726" s="3">
        <v>2</v>
      </c>
      <c r="X726" s="2" t="s">
        <v>576</v>
      </c>
      <c r="Y726" s="18">
        <v>0</v>
      </c>
      <c r="Z726" s="18">
        <v>0</v>
      </c>
      <c r="AA726" s="18">
        <v>2</v>
      </c>
      <c r="AB726" s="18">
        <v>2</v>
      </c>
      <c r="AC726" s="18">
        <v>0</v>
      </c>
      <c r="AD726" s="18">
        <v>0</v>
      </c>
      <c r="AE726" s="18">
        <v>0</v>
      </c>
      <c r="AN726" s="3">
        <f t="shared" si="26"/>
        <v>4</v>
      </c>
      <c r="AO726" s="3">
        <v>4</v>
      </c>
      <c r="AP726" s="3">
        <v>0</v>
      </c>
      <c r="AR726" s="2" t="s">
        <v>567</v>
      </c>
    </row>
    <row r="727" spans="1:44" ht="12.75" customHeight="1">
      <c r="A727" s="5">
        <v>38093</v>
      </c>
      <c r="C727" s="2" t="s">
        <v>392</v>
      </c>
      <c r="E727" s="18">
        <v>2</v>
      </c>
      <c r="F727" s="18">
        <v>0</v>
      </c>
      <c r="G727" s="18">
        <v>0</v>
      </c>
      <c r="H727" s="18">
        <v>1</v>
      </c>
      <c r="I727" s="18">
        <v>0</v>
      </c>
      <c r="J727" s="18">
        <v>0</v>
      </c>
      <c r="K727" s="18">
        <v>0</v>
      </c>
      <c r="T727" s="3">
        <f t="shared" si="27"/>
        <v>3</v>
      </c>
      <c r="U727" s="3">
        <v>3</v>
      </c>
      <c r="V727" s="3">
        <v>2</v>
      </c>
      <c r="X727" s="2" t="s">
        <v>512</v>
      </c>
      <c r="Y727" s="18">
        <v>0</v>
      </c>
      <c r="Z727" s="18">
        <v>1</v>
      </c>
      <c r="AA727" s="18">
        <v>0</v>
      </c>
      <c r="AB727" s="18">
        <v>1</v>
      </c>
      <c r="AC727" s="18">
        <v>0</v>
      </c>
      <c r="AD727" s="18">
        <v>3</v>
      </c>
      <c r="AE727" s="18">
        <v>0</v>
      </c>
      <c r="AN727" s="3">
        <f t="shared" si="26"/>
        <v>5</v>
      </c>
      <c r="AO727" s="3">
        <v>8</v>
      </c>
      <c r="AP727" s="3">
        <v>0</v>
      </c>
      <c r="AR727" s="2" t="s">
        <v>513</v>
      </c>
    </row>
    <row r="728" spans="1:44" ht="12.75" customHeight="1">
      <c r="A728" s="5">
        <f>DATE(2005,5,18)</f>
        <v>38490</v>
      </c>
      <c r="B728" s="2" t="s">
        <v>152</v>
      </c>
      <c r="C728" s="2" t="s">
        <v>392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T728" s="3">
        <f t="shared" si="27"/>
        <v>0</v>
      </c>
      <c r="U728" s="3">
        <v>1</v>
      </c>
      <c r="V728" s="3">
        <v>5</v>
      </c>
      <c r="X728" s="2" t="s">
        <v>562</v>
      </c>
      <c r="Y728" s="18">
        <v>1</v>
      </c>
      <c r="Z728" s="18">
        <v>3</v>
      </c>
      <c r="AA728" s="18">
        <v>7</v>
      </c>
      <c r="AB728" s="18">
        <v>2</v>
      </c>
      <c r="AC728" s="18" t="s">
        <v>162</v>
      </c>
      <c r="AN728" s="3">
        <f t="shared" si="26"/>
        <v>13</v>
      </c>
      <c r="AO728" s="3">
        <v>10</v>
      </c>
      <c r="AP728" s="3">
        <v>0</v>
      </c>
      <c r="AR728" s="2" t="s">
        <v>426</v>
      </c>
    </row>
    <row r="729" spans="1:44" ht="12.75" customHeight="1">
      <c r="A729" s="5">
        <v>38804</v>
      </c>
      <c r="C729" s="2" t="s">
        <v>392</v>
      </c>
      <c r="E729" s="18">
        <v>0</v>
      </c>
      <c r="F729" s="18">
        <v>0</v>
      </c>
      <c r="G729" s="18">
        <v>0</v>
      </c>
      <c r="H729" s="18">
        <v>2</v>
      </c>
      <c r="I729" s="18">
        <v>1</v>
      </c>
      <c r="J729" s="18">
        <v>0</v>
      </c>
      <c r="K729" s="18">
        <v>0</v>
      </c>
      <c r="L729" s="18">
        <v>1</v>
      </c>
      <c r="T729" s="3">
        <f t="shared" si="27"/>
        <v>4</v>
      </c>
      <c r="U729" s="3">
        <v>8</v>
      </c>
      <c r="V729" s="3">
        <v>1</v>
      </c>
      <c r="X729" s="2" t="s">
        <v>208</v>
      </c>
      <c r="Y729" s="18">
        <v>0</v>
      </c>
      <c r="Z729" s="18">
        <v>0</v>
      </c>
      <c r="AA729" s="18">
        <v>2</v>
      </c>
      <c r="AB729" s="18">
        <v>0</v>
      </c>
      <c r="AC729" s="18">
        <v>0</v>
      </c>
      <c r="AD729" s="18">
        <v>1</v>
      </c>
      <c r="AE729" s="18">
        <v>0</v>
      </c>
      <c r="AF729" s="18">
        <v>1</v>
      </c>
      <c r="AN729" s="3">
        <f t="shared" si="26"/>
        <v>4</v>
      </c>
      <c r="AO729" s="3">
        <v>7</v>
      </c>
      <c r="AP729" s="3">
        <v>1</v>
      </c>
      <c r="AR729" s="2" t="s">
        <v>214</v>
      </c>
    </row>
    <row r="730" spans="1:44" ht="12.75" customHeight="1">
      <c r="A730" s="5">
        <v>39216</v>
      </c>
      <c r="B730" s="2" t="s">
        <v>152</v>
      </c>
      <c r="C730" s="2" t="s">
        <v>392</v>
      </c>
      <c r="E730" s="18">
        <v>0</v>
      </c>
      <c r="F730" s="18">
        <v>0</v>
      </c>
      <c r="G730" s="18">
        <v>0</v>
      </c>
      <c r="H730" s="18">
        <v>2</v>
      </c>
      <c r="I730" s="18">
        <v>0</v>
      </c>
      <c r="J730" s="18">
        <v>1</v>
      </c>
      <c r="K730" s="18">
        <v>1</v>
      </c>
      <c r="T730" s="3">
        <f t="shared" si="27"/>
        <v>4</v>
      </c>
      <c r="U730" s="3">
        <v>6</v>
      </c>
      <c r="V730" s="3">
        <v>0</v>
      </c>
      <c r="X730" s="2" t="s">
        <v>478</v>
      </c>
      <c r="Y730" s="18">
        <v>1</v>
      </c>
      <c r="Z730" s="18">
        <v>6</v>
      </c>
      <c r="AA730" s="18">
        <v>0</v>
      </c>
      <c r="AB730" s="18">
        <v>0</v>
      </c>
      <c r="AC730" s="18">
        <v>1</v>
      </c>
      <c r="AD730" s="18">
        <v>0</v>
      </c>
      <c r="AE730" s="18" t="s">
        <v>162</v>
      </c>
      <c r="AN730" s="3">
        <f t="shared" si="26"/>
        <v>8</v>
      </c>
      <c r="AO730" s="3">
        <v>10</v>
      </c>
      <c r="AP730" s="3">
        <v>0</v>
      </c>
      <c r="AR730" s="2" t="s">
        <v>482</v>
      </c>
    </row>
    <row r="731" spans="1:44" ht="12.75" customHeight="1">
      <c r="A731" s="5">
        <v>40663</v>
      </c>
      <c r="C731" s="2" t="s">
        <v>392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2</v>
      </c>
      <c r="T731" s="3">
        <f t="shared" si="27"/>
        <v>2</v>
      </c>
      <c r="U731" s="3">
        <v>8</v>
      </c>
      <c r="V731" s="3">
        <v>0</v>
      </c>
      <c r="X731" s="2" t="s">
        <v>786</v>
      </c>
      <c r="Y731" s="18">
        <v>3</v>
      </c>
      <c r="Z731" s="18">
        <v>0</v>
      </c>
      <c r="AA731" s="18">
        <v>1</v>
      </c>
      <c r="AB731" s="18">
        <v>0</v>
      </c>
      <c r="AC731" s="18">
        <v>2</v>
      </c>
      <c r="AD731" s="18">
        <v>1</v>
      </c>
      <c r="AE731" s="18">
        <v>3</v>
      </c>
      <c r="AN731" s="3">
        <f t="shared" si="26"/>
        <v>10</v>
      </c>
      <c r="AO731" s="3">
        <v>18</v>
      </c>
      <c r="AP731" s="3">
        <v>1</v>
      </c>
      <c r="AR731" s="2" t="s">
        <v>1972</v>
      </c>
    </row>
    <row r="732" spans="1:44" ht="12.75" customHeight="1">
      <c r="A732" s="4">
        <f>DATE(79,6,2)</f>
        <v>29008</v>
      </c>
      <c r="C732" s="2" t="s">
        <v>279</v>
      </c>
      <c r="E732" s="18">
        <v>0</v>
      </c>
      <c r="F732" s="18">
        <v>2</v>
      </c>
      <c r="G732" s="18">
        <v>3</v>
      </c>
      <c r="H732" s="18">
        <v>0</v>
      </c>
      <c r="I732" s="18">
        <v>0</v>
      </c>
      <c r="J732" s="18">
        <v>5</v>
      </c>
      <c r="K732" s="18" t="s">
        <v>162</v>
      </c>
      <c r="T732" s="3">
        <v>10</v>
      </c>
      <c r="U732" s="3">
        <v>10</v>
      </c>
      <c r="V732" s="3">
        <v>2</v>
      </c>
      <c r="X732" s="2" t="s">
        <v>1227</v>
      </c>
      <c r="Y732" s="18">
        <v>1</v>
      </c>
      <c r="Z732" s="18">
        <v>1</v>
      </c>
      <c r="AA732" s="18">
        <v>0</v>
      </c>
      <c r="AB732" s="18">
        <v>0</v>
      </c>
      <c r="AC732" s="18">
        <v>1</v>
      </c>
      <c r="AD732" s="18">
        <v>1</v>
      </c>
      <c r="AE732" s="18">
        <v>0</v>
      </c>
      <c r="AN732" s="3">
        <v>4</v>
      </c>
      <c r="AO732" s="3">
        <v>8</v>
      </c>
      <c r="AP732" s="3">
        <v>3</v>
      </c>
      <c r="AR732" s="2" t="s">
        <v>280</v>
      </c>
    </row>
    <row r="733" spans="1:44" ht="12.75" customHeight="1">
      <c r="A733" s="4">
        <f>DATE(81,5,4)</f>
        <v>29710</v>
      </c>
      <c r="C733" s="2" t="s">
        <v>279</v>
      </c>
      <c r="E733" s="18">
        <v>1</v>
      </c>
      <c r="F733" s="18">
        <v>2</v>
      </c>
      <c r="G733" s="18">
        <v>0</v>
      </c>
      <c r="H733" s="18">
        <v>2</v>
      </c>
      <c r="I733" s="18">
        <v>1</v>
      </c>
      <c r="J733" s="18">
        <v>2</v>
      </c>
      <c r="K733" s="18" t="s">
        <v>162</v>
      </c>
      <c r="T733" s="3">
        <v>8</v>
      </c>
      <c r="U733" s="3">
        <v>10</v>
      </c>
      <c r="V733" s="3">
        <v>4</v>
      </c>
      <c r="X733" s="2" t="s">
        <v>1339</v>
      </c>
      <c r="Y733" s="18">
        <v>1</v>
      </c>
      <c r="Z733" s="18">
        <v>2</v>
      </c>
      <c r="AA733" s="18">
        <v>0</v>
      </c>
      <c r="AB733" s="18">
        <v>0</v>
      </c>
      <c r="AC733" s="18">
        <v>2</v>
      </c>
      <c r="AD733" s="18">
        <v>0</v>
      </c>
      <c r="AE733" s="18">
        <v>0</v>
      </c>
      <c r="AN733" s="3">
        <v>5</v>
      </c>
      <c r="AO733" s="3">
        <v>4</v>
      </c>
      <c r="AP733" s="3">
        <v>3</v>
      </c>
      <c r="AR733" s="2" t="s">
        <v>299</v>
      </c>
    </row>
    <row r="734" spans="1:44" ht="12.75" customHeight="1">
      <c r="A734" s="5">
        <v>44295</v>
      </c>
      <c r="C734" s="2" t="s">
        <v>279</v>
      </c>
      <c r="E734" s="18">
        <v>0</v>
      </c>
      <c r="F734" s="18">
        <v>2</v>
      </c>
      <c r="G734" s="18">
        <v>3</v>
      </c>
      <c r="H734" s="18">
        <v>0</v>
      </c>
      <c r="I734" s="18">
        <v>0</v>
      </c>
      <c r="J734" s="18">
        <v>0</v>
      </c>
      <c r="K734" s="18">
        <v>0</v>
      </c>
      <c r="T734" s="3">
        <f>SUM(E734:S734)</f>
        <v>5</v>
      </c>
      <c r="U734" s="3">
        <v>10</v>
      </c>
      <c r="V734" s="3">
        <v>2</v>
      </c>
      <c r="X734" s="2" t="s">
        <v>2238</v>
      </c>
      <c r="Y734" s="18">
        <v>0</v>
      </c>
      <c r="Z734" s="18">
        <v>1</v>
      </c>
      <c r="AA734" s="18">
        <v>1</v>
      </c>
      <c r="AB734" s="18">
        <v>0</v>
      </c>
      <c r="AC734" s="18">
        <v>2</v>
      </c>
      <c r="AD734" s="18">
        <v>0</v>
      </c>
      <c r="AE734" s="18">
        <v>1</v>
      </c>
      <c r="AN734" s="3">
        <f>SUM(Y734:AM734)</f>
        <v>5</v>
      </c>
      <c r="AO734" s="3">
        <v>6</v>
      </c>
      <c r="AP734" s="3">
        <v>3</v>
      </c>
      <c r="AR734" s="2" t="s">
        <v>2246</v>
      </c>
    </row>
    <row r="735" spans="1:44" ht="12.75" customHeight="1">
      <c r="A735" s="4">
        <v>36609</v>
      </c>
      <c r="B735" s="2" t="s">
        <v>152</v>
      </c>
      <c r="C735" s="2" t="s">
        <v>1907</v>
      </c>
      <c r="E735" s="18">
        <v>1</v>
      </c>
      <c r="F735" s="18">
        <v>3</v>
      </c>
      <c r="G735" s="18">
        <v>4</v>
      </c>
      <c r="H735" s="18">
        <v>1</v>
      </c>
      <c r="I735" s="18">
        <v>2</v>
      </c>
      <c r="J735" s="18">
        <v>0</v>
      </c>
      <c r="T735" s="3">
        <f>SUM(E735:S735)</f>
        <v>11</v>
      </c>
      <c r="U735" s="3">
        <v>13</v>
      </c>
      <c r="V735" s="3">
        <v>8</v>
      </c>
      <c r="X735" s="2" t="s">
        <v>1908</v>
      </c>
      <c r="Y735" s="18">
        <v>0</v>
      </c>
      <c r="Z735" s="18">
        <v>4</v>
      </c>
      <c r="AA735" s="18">
        <v>1</v>
      </c>
      <c r="AB735" s="18">
        <v>0</v>
      </c>
      <c r="AC735" s="18">
        <v>2</v>
      </c>
      <c r="AD735" s="18">
        <v>1</v>
      </c>
      <c r="AN735" s="3">
        <f>SUM(Y735:AM735)</f>
        <v>8</v>
      </c>
      <c r="AO735" s="3">
        <v>5</v>
      </c>
      <c r="AP735" s="3">
        <v>4</v>
      </c>
      <c r="AR735" s="2" t="s">
        <v>1909</v>
      </c>
    </row>
    <row r="736" spans="1:44" ht="12.75" customHeight="1">
      <c r="A736" s="5">
        <v>36974</v>
      </c>
      <c r="B736" s="2" t="s">
        <v>152</v>
      </c>
      <c r="C736" s="2" t="s">
        <v>1907</v>
      </c>
      <c r="E736" s="18">
        <v>2</v>
      </c>
      <c r="F736" s="18">
        <v>3</v>
      </c>
      <c r="G736" s="18">
        <v>0</v>
      </c>
      <c r="H736" s="18">
        <v>0</v>
      </c>
      <c r="I736" s="18">
        <v>1</v>
      </c>
      <c r="J736" s="18">
        <v>1</v>
      </c>
      <c r="K736" s="18">
        <v>1</v>
      </c>
      <c r="T736" s="3">
        <f>SUM(E736:S736)</f>
        <v>8</v>
      </c>
      <c r="U736" s="3">
        <v>7</v>
      </c>
      <c r="V736" s="3">
        <v>3</v>
      </c>
      <c r="X736" s="2" t="s">
        <v>92</v>
      </c>
      <c r="Y736" s="18">
        <v>4</v>
      </c>
      <c r="Z736" s="18">
        <v>0</v>
      </c>
      <c r="AA736" s="18">
        <v>1</v>
      </c>
      <c r="AB736" s="18">
        <v>3</v>
      </c>
      <c r="AC736" s="18">
        <v>1</v>
      </c>
      <c r="AD736" s="18">
        <v>0</v>
      </c>
      <c r="AE736" s="18" t="s">
        <v>162</v>
      </c>
      <c r="AN736" s="3">
        <f>SUM(Y736:AM736)</f>
        <v>9</v>
      </c>
      <c r="AO736" s="3">
        <v>9</v>
      </c>
      <c r="AP736" s="3">
        <v>3</v>
      </c>
      <c r="AR736" s="2" t="s">
        <v>95</v>
      </c>
    </row>
    <row r="737" spans="1:44" ht="12.75" customHeight="1">
      <c r="A737" s="4">
        <f>DATE(78,3,24)</f>
        <v>28573</v>
      </c>
      <c r="B737" s="2" t="s">
        <v>152</v>
      </c>
      <c r="C737" s="2" t="s">
        <v>1148</v>
      </c>
      <c r="E737" s="18">
        <v>0</v>
      </c>
      <c r="F737" s="18">
        <v>0</v>
      </c>
      <c r="G737" s="18">
        <v>0</v>
      </c>
      <c r="H737" s="18">
        <v>0</v>
      </c>
      <c r="I737" s="18">
        <v>1</v>
      </c>
      <c r="J737" s="18">
        <v>0</v>
      </c>
      <c r="K737" s="18">
        <v>1</v>
      </c>
      <c r="T737" s="3">
        <v>2</v>
      </c>
      <c r="U737" s="3">
        <v>5</v>
      </c>
      <c r="V737" s="3">
        <v>1</v>
      </c>
      <c r="X737" s="2" t="s">
        <v>1149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N737" s="3">
        <v>0</v>
      </c>
      <c r="AO737" s="3">
        <v>2</v>
      </c>
      <c r="AP737" s="3">
        <v>1</v>
      </c>
      <c r="AR737" s="2" t="s">
        <v>1150</v>
      </c>
    </row>
    <row r="738" spans="1:44" ht="12.75" customHeight="1">
      <c r="A738" s="4">
        <f>DATE(79,3,22)</f>
        <v>28936</v>
      </c>
      <c r="B738" s="2" t="s">
        <v>152</v>
      </c>
      <c r="C738" s="2" t="s">
        <v>1187</v>
      </c>
      <c r="E738" s="18">
        <v>4</v>
      </c>
      <c r="F738" s="18">
        <v>1</v>
      </c>
      <c r="G738" s="18">
        <v>0</v>
      </c>
      <c r="H738" s="18">
        <v>1</v>
      </c>
      <c r="I738" s="18">
        <v>1</v>
      </c>
      <c r="J738" s="18">
        <v>2</v>
      </c>
      <c r="K738" s="18">
        <v>1</v>
      </c>
      <c r="T738" s="3">
        <v>10</v>
      </c>
      <c r="U738" s="3">
        <v>14</v>
      </c>
      <c r="V738" s="3">
        <v>0</v>
      </c>
      <c r="X738" s="2" t="s">
        <v>1149</v>
      </c>
      <c r="Y738" s="18">
        <v>0</v>
      </c>
      <c r="Z738" s="18">
        <v>0</v>
      </c>
      <c r="AA738" s="18">
        <v>1</v>
      </c>
      <c r="AB738" s="18">
        <v>0</v>
      </c>
      <c r="AC738" s="18">
        <v>0</v>
      </c>
      <c r="AD738" s="18">
        <v>0</v>
      </c>
      <c r="AE738" s="18">
        <v>0</v>
      </c>
      <c r="AN738" s="3">
        <v>1</v>
      </c>
      <c r="AO738" s="3">
        <v>6</v>
      </c>
      <c r="AP738" s="3">
        <v>3</v>
      </c>
      <c r="AR738" s="2" t="s">
        <v>1188</v>
      </c>
    </row>
    <row r="739" spans="1:44" ht="12.75" customHeight="1">
      <c r="A739" s="5">
        <v>36281</v>
      </c>
      <c r="C739" s="2" t="s">
        <v>1906</v>
      </c>
      <c r="E739" s="18">
        <v>4</v>
      </c>
      <c r="F739" s="18">
        <v>7</v>
      </c>
      <c r="G739" s="18">
        <v>2</v>
      </c>
      <c r="H739" s="18">
        <v>7</v>
      </c>
      <c r="I739" s="18" t="s">
        <v>162</v>
      </c>
      <c r="T739" s="3">
        <f>SUM(E739:S739)</f>
        <v>20</v>
      </c>
      <c r="U739" s="3">
        <v>15</v>
      </c>
      <c r="V739" s="3">
        <v>1</v>
      </c>
      <c r="X739" s="2" t="s">
        <v>1996</v>
      </c>
      <c r="Y739" s="18">
        <v>0</v>
      </c>
      <c r="Z739" s="18">
        <v>0</v>
      </c>
      <c r="AA739" s="18">
        <v>0</v>
      </c>
      <c r="AB739" s="18">
        <v>1</v>
      </c>
      <c r="AC739" s="18">
        <v>1</v>
      </c>
      <c r="AN739" s="3">
        <f>SUM(Y739:AM739)</f>
        <v>2</v>
      </c>
      <c r="AO739" s="3">
        <v>5</v>
      </c>
      <c r="AP739" s="3">
        <v>5</v>
      </c>
      <c r="AR739" s="2" t="s">
        <v>617</v>
      </c>
    </row>
    <row r="740" spans="1:44" ht="12.75" customHeight="1">
      <c r="A740" s="4">
        <v>36645</v>
      </c>
      <c r="B740" s="2" t="s">
        <v>152</v>
      </c>
      <c r="C740" s="2" t="s">
        <v>1906</v>
      </c>
      <c r="E740" s="18">
        <v>2</v>
      </c>
      <c r="F740" s="18">
        <v>1</v>
      </c>
      <c r="G740" s="18">
        <v>2</v>
      </c>
      <c r="H740" s="18">
        <v>6</v>
      </c>
      <c r="I740" s="18">
        <v>1</v>
      </c>
      <c r="T740" s="3">
        <f>SUM(E740:S740)</f>
        <v>12</v>
      </c>
      <c r="U740" s="3">
        <v>15</v>
      </c>
      <c r="V740" s="3">
        <v>2</v>
      </c>
      <c r="X740" s="2" t="s">
        <v>1920</v>
      </c>
      <c r="Y740" s="18">
        <v>0</v>
      </c>
      <c r="Z740" s="18">
        <v>0</v>
      </c>
      <c r="AA740" s="18">
        <v>0</v>
      </c>
      <c r="AB740" s="18">
        <v>0</v>
      </c>
      <c r="AC740" s="18">
        <v>0</v>
      </c>
      <c r="AN740" s="3">
        <f>SUM(Y740:AM740)</f>
        <v>0</v>
      </c>
      <c r="AO740" s="3">
        <v>0</v>
      </c>
      <c r="AP740" s="3">
        <v>2</v>
      </c>
      <c r="AR740" s="2" t="s">
        <v>81</v>
      </c>
    </row>
    <row r="741" spans="1:44" ht="12.75" customHeight="1">
      <c r="A741" s="5">
        <v>39191</v>
      </c>
      <c r="B741" s="2" t="s">
        <v>152</v>
      </c>
      <c r="C741" s="2" t="s">
        <v>462</v>
      </c>
      <c r="E741" s="18">
        <v>5</v>
      </c>
      <c r="F741" s="18">
        <v>0</v>
      </c>
      <c r="G741" s="18">
        <v>0</v>
      </c>
      <c r="H741" s="18">
        <v>1</v>
      </c>
      <c r="I741" s="18">
        <v>0</v>
      </c>
      <c r="J741" s="18">
        <v>2</v>
      </c>
      <c r="K741" s="18">
        <v>4</v>
      </c>
      <c r="T741" s="3">
        <f>SUM(E741:S741)</f>
        <v>12</v>
      </c>
      <c r="U741" s="3">
        <v>11</v>
      </c>
      <c r="V741" s="3">
        <v>2</v>
      </c>
      <c r="X741" s="2" t="s">
        <v>469</v>
      </c>
      <c r="Y741" s="18">
        <v>0</v>
      </c>
      <c r="Z741" s="18">
        <v>0</v>
      </c>
      <c r="AA741" s="18">
        <v>0</v>
      </c>
      <c r="AB741" s="18">
        <v>1</v>
      </c>
      <c r="AC741" s="18">
        <v>1</v>
      </c>
      <c r="AD741" s="18">
        <v>2</v>
      </c>
      <c r="AE741" s="18">
        <v>0</v>
      </c>
      <c r="AN741" s="3">
        <f>SUM(Y741:AM741)</f>
        <v>4</v>
      </c>
      <c r="AO741" s="3">
        <v>5</v>
      </c>
      <c r="AP741" s="3">
        <v>4</v>
      </c>
      <c r="AR741" s="2" t="s">
        <v>492</v>
      </c>
    </row>
    <row r="742" spans="1:44" ht="12.75" customHeight="1">
      <c r="A742" s="5">
        <v>40669</v>
      </c>
      <c r="B742" s="2" t="s">
        <v>152</v>
      </c>
      <c r="C742" s="2" t="s">
        <v>1973</v>
      </c>
      <c r="E742" s="18">
        <v>9</v>
      </c>
      <c r="F742" s="18">
        <v>6</v>
      </c>
      <c r="G742" s="18">
        <v>0</v>
      </c>
      <c r="T742" s="3">
        <f>SUM(E742:S742)</f>
        <v>15</v>
      </c>
      <c r="U742" s="3">
        <v>12</v>
      </c>
      <c r="V742" s="3">
        <v>0</v>
      </c>
      <c r="X742" s="2" t="s">
        <v>773</v>
      </c>
      <c r="Y742" s="18">
        <v>0</v>
      </c>
      <c r="Z742" s="18">
        <v>0</v>
      </c>
      <c r="AA742" s="18">
        <v>0</v>
      </c>
      <c r="AN742" s="3">
        <f>SUM(Y742:AM742)</f>
        <v>0</v>
      </c>
      <c r="AO742" s="3">
        <v>3</v>
      </c>
      <c r="AP742" s="3">
        <v>3</v>
      </c>
      <c r="AR742" s="2" t="s">
        <v>1978</v>
      </c>
    </row>
    <row r="743" spans="1:44" ht="12.75" customHeight="1">
      <c r="A743" s="4">
        <v>14747</v>
      </c>
      <c r="C743" s="2" t="s">
        <v>170</v>
      </c>
      <c r="E743" s="18">
        <v>0</v>
      </c>
      <c r="F743" s="18">
        <v>0</v>
      </c>
      <c r="G743" s="18">
        <v>0</v>
      </c>
      <c r="H743" s="18">
        <v>6</v>
      </c>
      <c r="I743" s="18">
        <v>1</v>
      </c>
      <c r="J743" s="18">
        <v>0</v>
      </c>
      <c r="K743" s="18" t="s">
        <v>162</v>
      </c>
      <c r="T743" s="3">
        <v>7</v>
      </c>
      <c r="U743" s="3">
        <v>4</v>
      </c>
      <c r="V743" s="3">
        <v>1</v>
      </c>
      <c r="X743" s="2" t="s">
        <v>57</v>
      </c>
      <c r="Y743" s="18">
        <v>0</v>
      </c>
      <c r="Z743" s="18">
        <v>0</v>
      </c>
      <c r="AA743" s="18">
        <v>0</v>
      </c>
      <c r="AB743" s="18">
        <v>0</v>
      </c>
      <c r="AC743" s="18">
        <v>1</v>
      </c>
      <c r="AD743" s="18">
        <v>0</v>
      </c>
      <c r="AE743" s="18">
        <v>1</v>
      </c>
      <c r="AN743" s="3">
        <v>2</v>
      </c>
      <c r="AO743" s="3">
        <v>8</v>
      </c>
      <c r="AP743" s="3">
        <v>1</v>
      </c>
      <c r="AR743" s="2" t="s">
        <v>37</v>
      </c>
    </row>
    <row r="744" spans="1:44" ht="12.75" customHeight="1">
      <c r="A744" s="4">
        <v>14754</v>
      </c>
      <c r="B744" s="2" t="s">
        <v>152</v>
      </c>
      <c r="C744" s="2" t="s">
        <v>170</v>
      </c>
      <c r="E744" s="18">
        <v>0</v>
      </c>
      <c r="F744" s="18">
        <v>0</v>
      </c>
      <c r="G744" s="18">
        <v>0</v>
      </c>
      <c r="H744" s="18">
        <v>1</v>
      </c>
      <c r="I744" s="18">
        <v>0</v>
      </c>
      <c r="J744" s="18">
        <v>0</v>
      </c>
      <c r="K744" s="18">
        <v>1</v>
      </c>
      <c r="L744" s="18">
        <v>4</v>
      </c>
      <c r="M744" s="18">
        <v>0</v>
      </c>
      <c r="T744" s="3">
        <v>6</v>
      </c>
      <c r="U744" s="3">
        <v>13</v>
      </c>
      <c r="V744" s="3">
        <v>5</v>
      </c>
      <c r="X744" s="2" t="s">
        <v>58</v>
      </c>
      <c r="Y744" s="18">
        <v>0</v>
      </c>
      <c r="Z744" s="18">
        <v>0</v>
      </c>
      <c r="AA744" s="18">
        <v>1</v>
      </c>
      <c r="AB744" s="18">
        <v>0</v>
      </c>
      <c r="AC744" s="18">
        <v>0</v>
      </c>
      <c r="AD744" s="18">
        <v>2</v>
      </c>
      <c r="AE744" s="18">
        <v>2</v>
      </c>
      <c r="AF744" s="18">
        <v>2</v>
      </c>
      <c r="AG744" s="18" t="s">
        <v>162</v>
      </c>
      <c r="AN744" s="3">
        <v>7</v>
      </c>
      <c r="AO744" s="3">
        <v>7</v>
      </c>
      <c r="AP744" s="3">
        <v>0</v>
      </c>
      <c r="AR744" s="2" t="s">
        <v>43</v>
      </c>
    </row>
    <row r="745" spans="1:44" ht="12.75" customHeight="1">
      <c r="A745" s="4">
        <f>DATE(78,6,16)</f>
        <v>28657</v>
      </c>
      <c r="B745" s="2" t="s">
        <v>239</v>
      </c>
      <c r="C745" s="2" t="s">
        <v>272</v>
      </c>
      <c r="D745" s="2" t="s">
        <v>260</v>
      </c>
      <c r="E745" s="18">
        <v>0</v>
      </c>
      <c r="F745" s="18">
        <v>0</v>
      </c>
      <c r="G745" s="18">
        <v>1</v>
      </c>
      <c r="H745" s="18">
        <v>0</v>
      </c>
      <c r="I745" s="18">
        <v>0</v>
      </c>
      <c r="J745" s="18">
        <v>0</v>
      </c>
      <c r="K745" s="18">
        <v>0</v>
      </c>
      <c r="T745" s="3">
        <v>1</v>
      </c>
      <c r="U745" s="3">
        <v>5</v>
      </c>
      <c r="V745" s="3">
        <v>1</v>
      </c>
      <c r="X745" s="2" t="s">
        <v>1184</v>
      </c>
      <c r="Y745" s="18">
        <v>1</v>
      </c>
      <c r="Z745" s="18">
        <v>0</v>
      </c>
      <c r="AA745" s="18">
        <v>3</v>
      </c>
      <c r="AB745" s="18">
        <v>0</v>
      </c>
      <c r="AC745" s="18">
        <v>0</v>
      </c>
      <c r="AD745" s="18">
        <v>0</v>
      </c>
      <c r="AE745" s="18">
        <v>0</v>
      </c>
      <c r="AN745" s="3">
        <v>4</v>
      </c>
      <c r="AO745" s="3">
        <v>6</v>
      </c>
      <c r="AP745" s="3">
        <v>1</v>
      </c>
      <c r="AR745" s="2" t="s">
        <v>1185</v>
      </c>
    </row>
    <row r="746" spans="1:44" ht="12.75" customHeight="1">
      <c r="A746" s="5">
        <v>41741</v>
      </c>
      <c r="B746" s="2" t="s">
        <v>239</v>
      </c>
      <c r="C746" s="2" t="s">
        <v>2047</v>
      </c>
      <c r="E746" s="18">
        <v>0</v>
      </c>
      <c r="F746" s="18">
        <v>1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T746" s="3">
        <f>SUM(E746:S746)</f>
        <v>1</v>
      </c>
      <c r="U746" s="3">
        <v>5</v>
      </c>
      <c r="V746" s="3">
        <v>1</v>
      </c>
      <c r="X746" s="2" t="s">
        <v>2077</v>
      </c>
      <c r="Y746" s="18">
        <v>2</v>
      </c>
      <c r="Z746" s="18">
        <v>0</v>
      </c>
      <c r="AA746" s="18">
        <v>0</v>
      </c>
      <c r="AB746" s="18">
        <v>2</v>
      </c>
      <c r="AC746" s="18">
        <v>0</v>
      </c>
      <c r="AD746" s="18">
        <v>0</v>
      </c>
      <c r="AE746" s="18" t="s">
        <v>162</v>
      </c>
      <c r="AN746" s="3">
        <f>SUM(Y746:AM746)</f>
        <v>4</v>
      </c>
      <c r="AO746" s="3">
        <v>7</v>
      </c>
      <c r="AP746" s="3">
        <v>0</v>
      </c>
      <c r="AR746" s="2" t="s">
        <v>2078</v>
      </c>
    </row>
    <row r="747" spans="1:44" ht="12.75" customHeight="1">
      <c r="A747" s="4">
        <f>DATE(74,5,22)</f>
        <v>27171</v>
      </c>
      <c r="B747" s="2" t="s">
        <v>239</v>
      </c>
      <c r="C747" s="2" t="s">
        <v>383</v>
      </c>
      <c r="D747" s="2" t="s">
        <v>243</v>
      </c>
      <c r="E747" s="18">
        <v>1</v>
      </c>
      <c r="F747" s="18">
        <v>0</v>
      </c>
      <c r="G747" s="18">
        <v>1</v>
      </c>
      <c r="H747" s="18">
        <v>0</v>
      </c>
      <c r="I747" s="18">
        <v>0</v>
      </c>
      <c r="J747" s="18">
        <v>0</v>
      </c>
      <c r="K747" s="18">
        <v>0</v>
      </c>
      <c r="T747" s="3">
        <v>2</v>
      </c>
      <c r="U747" s="3">
        <v>3</v>
      </c>
      <c r="V747" s="3">
        <v>0</v>
      </c>
      <c r="X747" s="2" t="s">
        <v>1001</v>
      </c>
      <c r="Y747" s="18">
        <v>0</v>
      </c>
      <c r="Z747" s="18">
        <v>1</v>
      </c>
      <c r="AA747" s="18">
        <v>1</v>
      </c>
      <c r="AB747" s="18">
        <v>0</v>
      </c>
      <c r="AC747" s="18">
        <v>0</v>
      </c>
      <c r="AD747" s="18">
        <v>5</v>
      </c>
      <c r="AE747" s="18" t="s">
        <v>162</v>
      </c>
      <c r="AN747" s="3">
        <v>7</v>
      </c>
      <c r="AO747" s="3">
        <v>9</v>
      </c>
      <c r="AP747" s="3">
        <v>1</v>
      </c>
      <c r="AR747" s="2" t="s">
        <v>1037</v>
      </c>
    </row>
    <row r="748" spans="1:44" ht="12.75" customHeight="1">
      <c r="A748" s="4">
        <f>DATE(91,4,10)</f>
        <v>33338</v>
      </c>
      <c r="B748" s="2" t="s">
        <v>152</v>
      </c>
      <c r="C748" s="2" t="s">
        <v>137</v>
      </c>
      <c r="E748" s="18">
        <v>0</v>
      </c>
      <c r="F748" s="18">
        <v>2</v>
      </c>
      <c r="G748" s="18">
        <v>3</v>
      </c>
      <c r="H748" s="18">
        <v>7</v>
      </c>
      <c r="I748" s="18">
        <v>4</v>
      </c>
      <c r="T748" s="3">
        <v>16</v>
      </c>
      <c r="U748" s="3">
        <v>15</v>
      </c>
      <c r="V748" s="3">
        <v>2</v>
      </c>
      <c r="X748" s="2" t="s">
        <v>1689</v>
      </c>
      <c r="Y748" s="18">
        <v>2</v>
      </c>
      <c r="Z748" s="18">
        <v>0</v>
      </c>
      <c r="AA748" s="18">
        <v>0</v>
      </c>
      <c r="AB748" s="18">
        <v>0</v>
      </c>
      <c r="AC748" s="18">
        <v>0</v>
      </c>
      <c r="AN748" s="3">
        <v>2</v>
      </c>
      <c r="AO748" s="3">
        <v>1</v>
      </c>
      <c r="AP748" s="3">
        <v>0</v>
      </c>
      <c r="AR748" s="2" t="s">
        <v>1724</v>
      </c>
    </row>
    <row r="749" spans="1:44" ht="12.75" customHeight="1">
      <c r="A749" s="4">
        <f>DATE(91,4,30)</f>
        <v>33358</v>
      </c>
      <c r="C749" s="2" t="s">
        <v>137</v>
      </c>
      <c r="E749" s="18">
        <v>1</v>
      </c>
      <c r="F749" s="18">
        <v>6</v>
      </c>
      <c r="G749" s="18">
        <v>3</v>
      </c>
      <c r="H749" s="18">
        <v>3</v>
      </c>
      <c r="I749" s="18" t="s">
        <v>162</v>
      </c>
      <c r="T749" s="3">
        <v>13</v>
      </c>
      <c r="U749" s="3">
        <v>11</v>
      </c>
      <c r="V749" s="3">
        <v>1</v>
      </c>
      <c r="X749" s="2" t="s">
        <v>1689</v>
      </c>
      <c r="Y749" s="18">
        <v>1</v>
      </c>
      <c r="Z749" s="18">
        <v>0</v>
      </c>
      <c r="AA749" s="18">
        <v>0</v>
      </c>
      <c r="AB749" s="18">
        <v>2</v>
      </c>
      <c r="AC749" s="18">
        <v>0</v>
      </c>
      <c r="AN749" s="3">
        <v>3</v>
      </c>
      <c r="AO749" s="3">
        <v>7</v>
      </c>
      <c r="AP749" s="3">
        <v>2</v>
      </c>
      <c r="AR749" s="2" t="s">
        <v>1734</v>
      </c>
    </row>
    <row r="750" spans="1:44" ht="12.75" customHeight="1">
      <c r="A750" s="4">
        <f>DATE(92,4,10)</f>
        <v>33704</v>
      </c>
      <c r="B750" s="2" t="s">
        <v>152</v>
      </c>
      <c r="C750" s="2" t="s">
        <v>137</v>
      </c>
      <c r="E750" s="18">
        <v>0</v>
      </c>
      <c r="F750" s="18">
        <v>0</v>
      </c>
      <c r="G750" s="18">
        <v>0</v>
      </c>
      <c r="H750" s="18">
        <v>1</v>
      </c>
      <c r="I750" s="18">
        <v>0</v>
      </c>
      <c r="J750" s="18">
        <v>0</v>
      </c>
      <c r="K750" s="18">
        <v>1</v>
      </c>
      <c r="T750" s="3">
        <v>2</v>
      </c>
      <c r="U750" s="3">
        <v>9</v>
      </c>
      <c r="V750" s="3">
        <v>0</v>
      </c>
      <c r="X750" s="2" t="s">
        <v>1784</v>
      </c>
      <c r="Y750" s="18">
        <v>0</v>
      </c>
      <c r="Z750" s="18">
        <v>0</v>
      </c>
      <c r="AA750" s="18">
        <v>1</v>
      </c>
      <c r="AB750" s="18">
        <v>0</v>
      </c>
      <c r="AC750" s="18">
        <v>0</v>
      </c>
      <c r="AD750" s="18">
        <v>3</v>
      </c>
      <c r="AE750" s="18" t="s">
        <v>162</v>
      </c>
      <c r="AN750" s="3">
        <f aca="true" t="shared" si="28" ref="AN750:AN770">SUM(Y750:AM750)</f>
        <v>4</v>
      </c>
      <c r="AO750" s="3">
        <v>4</v>
      </c>
      <c r="AP750" s="3">
        <v>1</v>
      </c>
      <c r="AR750" s="2" t="s">
        <v>1785</v>
      </c>
    </row>
    <row r="751" spans="1:44" ht="12.75" customHeight="1">
      <c r="A751" s="4">
        <f>DATE(92,5,5)</f>
        <v>33729</v>
      </c>
      <c r="C751" s="2" t="s">
        <v>137</v>
      </c>
      <c r="E751" s="18">
        <v>2</v>
      </c>
      <c r="F751" s="18">
        <v>0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T751" s="3">
        <v>2</v>
      </c>
      <c r="U751" s="3">
        <v>6</v>
      </c>
      <c r="V751" s="3">
        <v>2</v>
      </c>
      <c r="X751" s="2" t="s">
        <v>1801</v>
      </c>
      <c r="Y751" s="18">
        <v>1</v>
      </c>
      <c r="Z751" s="18">
        <v>0</v>
      </c>
      <c r="AA751" s="18">
        <v>1</v>
      </c>
      <c r="AB751" s="18">
        <v>0</v>
      </c>
      <c r="AC751" s="18">
        <v>2</v>
      </c>
      <c r="AD751" s="18">
        <v>0</v>
      </c>
      <c r="AE751" s="18">
        <v>2</v>
      </c>
      <c r="AN751" s="3">
        <f t="shared" si="28"/>
        <v>6</v>
      </c>
      <c r="AO751" s="3">
        <v>5</v>
      </c>
      <c r="AP751" s="3">
        <v>2</v>
      </c>
      <c r="AR751" s="2" t="s">
        <v>1802</v>
      </c>
    </row>
    <row r="752" spans="1:44" ht="12.75" customHeight="1">
      <c r="A752" s="4">
        <f>DATE(93,5,14)</f>
        <v>34103</v>
      </c>
      <c r="B752" s="2" t="s">
        <v>152</v>
      </c>
      <c r="C752" s="2" t="s">
        <v>137</v>
      </c>
      <c r="E752" s="18">
        <v>3</v>
      </c>
      <c r="F752" s="18">
        <v>0</v>
      </c>
      <c r="G752" s="18">
        <v>1</v>
      </c>
      <c r="H752" s="18">
        <v>1</v>
      </c>
      <c r="I752" s="18">
        <v>0</v>
      </c>
      <c r="J752" s="18">
        <v>1</v>
      </c>
      <c r="K752" s="18">
        <v>0</v>
      </c>
      <c r="T752" s="3">
        <f aca="true" t="shared" si="29" ref="T752:T770">SUM(E752:S752)</f>
        <v>6</v>
      </c>
      <c r="U752" s="3">
        <v>9</v>
      </c>
      <c r="V752" s="3">
        <v>2</v>
      </c>
      <c r="X752" s="2" t="s">
        <v>1799</v>
      </c>
      <c r="Y752" s="18">
        <v>0</v>
      </c>
      <c r="Z752" s="18">
        <v>0</v>
      </c>
      <c r="AA752" s="18">
        <v>0</v>
      </c>
      <c r="AB752" s="18">
        <v>1</v>
      </c>
      <c r="AC752" s="18">
        <v>1</v>
      </c>
      <c r="AD752" s="18">
        <v>0</v>
      </c>
      <c r="AE752" s="18">
        <v>1</v>
      </c>
      <c r="AN752" s="3">
        <f t="shared" si="28"/>
        <v>3</v>
      </c>
      <c r="AO752" s="3">
        <v>6</v>
      </c>
      <c r="AP752" s="3">
        <v>0</v>
      </c>
      <c r="AR752" s="2" t="s">
        <v>1842</v>
      </c>
    </row>
    <row r="753" spans="1:44" ht="12.75" customHeight="1">
      <c r="A753" s="4">
        <f>DATE(94,4,20)</f>
        <v>34444</v>
      </c>
      <c r="C753" s="2" t="s">
        <v>137</v>
      </c>
      <c r="E753" s="18">
        <v>0</v>
      </c>
      <c r="F753" s="18">
        <v>0</v>
      </c>
      <c r="G753" s="18">
        <v>5</v>
      </c>
      <c r="H753" s="18">
        <v>0</v>
      </c>
      <c r="I753" s="18">
        <v>5</v>
      </c>
      <c r="T753" s="3">
        <f t="shared" si="29"/>
        <v>10</v>
      </c>
      <c r="U753" s="3">
        <v>9</v>
      </c>
      <c r="V753" s="3">
        <v>0</v>
      </c>
      <c r="X753" s="2" t="s">
        <v>1856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  <c r="AN753" s="3">
        <f t="shared" si="28"/>
        <v>0</v>
      </c>
      <c r="AO753" s="3">
        <v>1</v>
      </c>
      <c r="AP753" s="3">
        <v>2</v>
      </c>
      <c r="AR753" s="2" t="s">
        <v>1857</v>
      </c>
    </row>
    <row r="754" spans="1:44" ht="12.75" customHeight="1">
      <c r="A754" s="4">
        <f>DATE(94,5,12)</f>
        <v>34466</v>
      </c>
      <c r="B754" s="2" t="s">
        <v>152</v>
      </c>
      <c r="C754" s="2" t="s">
        <v>137</v>
      </c>
      <c r="E754" s="18">
        <v>1</v>
      </c>
      <c r="F754" s="18">
        <v>1</v>
      </c>
      <c r="G754" s="18">
        <v>2</v>
      </c>
      <c r="H754" s="18">
        <v>0</v>
      </c>
      <c r="I754" s="18">
        <v>2</v>
      </c>
      <c r="J754" s="18">
        <v>0</v>
      </c>
      <c r="K754" s="18">
        <v>2</v>
      </c>
      <c r="L754" s="18">
        <v>4</v>
      </c>
      <c r="T754" s="3">
        <f t="shared" si="29"/>
        <v>12</v>
      </c>
      <c r="U754" s="3">
        <v>9</v>
      </c>
      <c r="V754" s="3">
        <v>1</v>
      </c>
      <c r="X754" s="2" t="s">
        <v>1792</v>
      </c>
      <c r="Y754" s="18">
        <v>0</v>
      </c>
      <c r="Z754" s="18">
        <v>0</v>
      </c>
      <c r="AA754" s="18">
        <v>3</v>
      </c>
      <c r="AB754" s="18">
        <v>0</v>
      </c>
      <c r="AC754" s="18">
        <v>0</v>
      </c>
      <c r="AD754" s="18">
        <v>4</v>
      </c>
      <c r="AE754" s="18">
        <v>1</v>
      </c>
      <c r="AF754" s="18">
        <v>2</v>
      </c>
      <c r="AN754" s="3">
        <f t="shared" si="28"/>
        <v>10</v>
      </c>
      <c r="AO754" s="3">
        <v>6</v>
      </c>
      <c r="AP754" s="3">
        <v>4</v>
      </c>
      <c r="AR754" s="2" t="s">
        <v>1871</v>
      </c>
    </row>
    <row r="755" spans="1:44" ht="12.75" customHeight="1">
      <c r="A755" s="4">
        <v>35166</v>
      </c>
      <c r="B755" s="2" t="s">
        <v>152</v>
      </c>
      <c r="C755" s="2" t="s">
        <v>137</v>
      </c>
      <c r="E755" s="18">
        <v>1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1</v>
      </c>
      <c r="T755" s="3">
        <f t="shared" si="29"/>
        <v>2</v>
      </c>
      <c r="U755" s="3">
        <v>5</v>
      </c>
      <c r="V755" s="3">
        <v>3</v>
      </c>
      <c r="X755" s="2" t="s">
        <v>1263</v>
      </c>
      <c r="Y755" s="18">
        <v>0</v>
      </c>
      <c r="Z755" s="18">
        <v>0</v>
      </c>
      <c r="AA755" s="18">
        <v>1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N755" s="3">
        <f t="shared" si="28"/>
        <v>1</v>
      </c>
      <c r="AO755" s="3">
        <v>3</v>
      </c>
      <c r="AP755" s="3">
        <v>1</v>
      </c>
      <c r="AR755" s="2" t="s">
        <v>1275</v>
      </c>
    </row>
    <row r="756" spans="1:44" ht="12.75" customHeight="1">
      <c r="A756" s="4">
        <v>35186</v>
      </c>
      <c r="C756" s="2" t="s">
        <v>137</v>
      </c>
      <c r="E756" s="18">
        <v>4</v>
      </c>
      <c r="F756" s="18">
        <v>0</v>
      </c>
      <c r="G756" s="18">
        <v>0</v>
      </c>
      <c r="H756" s="18">
        <v>0</v>
      </c>
      <c r="I756" s="18">
        <v>3</v>
      </c>
      <c r="J756" s="18">
        <v>0</v>
      </c>
      <c r="K756" s="18" t="s">
        <v>162</v>
      </c>
      <c r="T756" s="3">
        <f t="shared" si="29"/>
        <v>7</v>
      </c>
      <c r="U756" s="3">
        <v>7</v>
      </c>
      <c r="V756" s="3">
        <v>0</v>
      </c>
      <c r="X756" s="2" t="s">
        <v>1893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N756" s="3">
        <f t="shared" si="28"/>
        <v>0</v>
      </c>
      <c r="AO756" s="3">
        <v>0</v>
      </c>
      <c r="AP756" s="3">
        <v>3</v>
      </c>
      <c r="AR756" s="2" t="s">
        <v>1284</v>
      </c>
    </row>
    <row r="757" spans="1:44" ht="12.75" customHeight="1">
      <c r="A757" s="9">
        <f>DATE(1997,4,11)</f>
        <v>35531</v>
      </c>
      <c r="B757" s="2" t="s">
        <v>152</v>
      </c>
      <c r="C757" s="2" t="s">
        <v>137</v>
      </c>
      <c r="E757" s="18">
        <v>0</v>
      </c>
      <c r="F757" s="18">
        <v>0</v>
      </c>
      <c r="G757" s="18">
        <v>2</v>
      </c>
      <c r="H757" s="18">
        <v>0</v>
      </c>
      <c r="I757" s="18">
        <v>0</v>
      </c>
      <c r="J757" s="18">
        <v>0</v>
      </c>
      <c r="K757" s="18">
        <v>1</v>
      </c>
      <c r="T757" s="3">
        <f t="shared" si="29"/>
        <v>3</v>
      </c>
      <c r="U757" s="3">
        <v>8</v>
      </c>
      <c r="V757" s="3">
        <v>2</v>
      </c>
      <c r="X757" s="2" t="s">
        <v>427</v>
      </c>
      <c r="Y757" s="18">
        <v>0</v>
      </c>
      <c r="Z757" s="18">
        <v>2</v>
      </c>
      <c r="AA757" s="18">
        <v>0</v>
      </c>
      <c r="AB757" s="18">
        <v>0</v>
      </c>
      <c r="AC757" s="18">
        <v>4</v>
      </c>
      <c r="AD757" s="18">
        <v>1</v>
      </c>
      <c r="AE757" s="18" t="s">
        <v>162</v>
      </c>
      <c r="AN757" s="3">
        <f t="shared" si="28"/>
        <v>7</v>
      </c>
      <c r="AO757" s="3">
        <v>7</v>
      </c>
      <c r="AP757" s="3">
        <v>3</v>
      </c>
      <c r="AR757" s="2" t="s">
        <v>2383</v>
      </c>
    </row>
    <row r="758" spans="1:44" ht="12.75" customHeight="1">
      <c r="A758" s="9">
        <f>DATE(1997,5,6)</f>
        <v>35556</v>
      </c>
      <c r="C758" s="2" t="s">
        <v>137</v>
      </c>
      <c r="E758" s="18">
        <v>2</v>
      </c>
      <c r="F758" s="18">
        <v>0</v>
      </c>
      <c r="G758" s="18">
        <v>9</v>
      </c>
      <c r="H758" s="18">
        <v>0</v>
      </c>
      <c r="I758" s="18">
        <v>0</v>
      </c>
      <c r="J758" s="18">
        <v>0</v>
      </c>
      <c r="K758" s="18" t="s">
        <v>162</v>
      </c>
      <c r="T758" s="3">
        <f t="shared" si="29"/>
        <v>11</v>
      </c>
      <c r="U758" s="3">
        <v>10</v>
      </c>
      <c r="V758" s="3">
        <v>3</v>
      </c>
      <c r="X758" s="2" t="s">
        <v>454</v>
      </c>
      <c r="Y758" s="18">
        <v>1</v>
      </c>
      <c r="Z758" s="18">
        <v>5</v>
      </c>
      <c r="AA758" s="18">
        <v>0</v>
      </c>
      <c r="AB758" s="18">
        <v>2</v>
      </c>
      <c r="AC758" s="18">
        <v>0</v>
      </c>
      <c r="AD758" s="18">
        <v>0</v>
      </c>
      <c r="AE758" s="18">
        <v>0</v>
      </c>
      <c r="AN758" s="3">
        <f t="shared" si="28"/>
        <v>8</v>
      </c>
      <c r="AO758" s="3">
        <v>8</v>
      </c>
      <c r="AP758" s="3">
        <v>3</v>
      </c>
      <c r="AR758" s="2" t="s">
        <v>2402</v>
      </c>
    </row>
    <row r="759" spans="1:44" ht="12.75" customHeight="1">
      <c r="A759" s="4">
        <v>35909</v>
      </c>
      <c r="B759" s="2" t="s">
        <v>152</v>
      </c>
      <c r="C759" s="2" t="s">
        <v>137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4</v>
      </c>
      <c r="K759" s="18">
        <v>0</v>
      </c>
      <c r="L759" s="18">
        <v>0</v>
      </c>
      <c r="T759" s="3">
        <f t="shared" si="29"/>
        <v>4</v>
      </c>
      <c r="U759" s="3">
        <v>10</v>
      </c>
      <c r="V759" s="3">
        <v>12</v>
      </c>
      <c r="X759" s="2" t="s">
        <v>632</v>
      </c>
      <c r="Y759" s="18">
        <v>0</v>
      </c>
      <c r="Z759" s="18">
        <v>0</v>
      </c>
      <c r="AA759" s="18">
        <v>2</v>
      </c>
      <c r="AB759" s="18">
        <v>5</v>
      </c>
      <c r="AC759" s="18">
        <v>4</v>
      </c>
      <c r="AD759" s="18">
        <v>0</v>
      </c>
      <c r="AE759" s="18" t="s">
        <v>162</v>
      </c>
      <c r="AN759" s="3">
        <f t="shared" si="28"/>
        <v>11</v>
      </c>
      <c r="AO759" s="3">
        <v>8</v>
      </c>
      <c r="AP759" s="3">
        <v>1</v>
      </c>
      <c r="AR759" s="2" t="s">
        <v>2399</v>
      </c>
    </row>
    <row r="760" spans="1:44" ht="12.75" customHeight="1">
      <c r="A760" s="5">
        <v>36271</v>
      </c>
      <c r="C760" s="2" t="s">
        <v>137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T760" s="3">
        <f t="shared" si="29"/>
        <v>0</v>
      </c>
      <c r="U760" s="3">
        <v>2</v>
      </c>
      <c r="V760" s="3">
        <v>3</v>
      </c>
      <c r="X760" s="2" t="s">
        <v>502</v>
      </c>
      <c r="Y760" s="18">
        <v>1</v>
      </c>
      <c r="Z760" s="18">
        <v>3</v>
      </c>
      <c r="AA760" s="18">
        <v>1</v>
      </c>
      <c r="AB760" s="18">
        <v>0</v>
      </c>
      <c r="AC760" s="18">
        <v>3</v>
      </c>
      <c r="AD760" s="18">
        <v>0</v>
      </c>
      <c r="AE760" s="18">
        <v>0</v>
      </c>
      <c r="AN760" s="3">
        <f t="shared" si="28"/>
        <v>8</v>
      </c>
      <c r="AO760" s="3">
        <v>11</v>
      </c>
      <c r="AP760" s="3">
        <v>0</v>
      </c>
      <c r="AR760" s="2" t="s">
        <v>2398</v>
      </c>
    </row>
    <row r="761" spans="1:44" ht="12.75" customHeight="1">
      <c r="A761" s="4">
        <v>36635</v>
      </c>
      <c r="B761" s="2" t="s">
        <v>152</v>
      </c>
      <c r="C761" s="2" t="s">
        <v>137</v>
      </c>
      <c r="E761" s="18">
        <v>0</v>
      </c>
      <c r="F761" s="18">
        <v>0</v>
      </c>
      <c r="G761" s="18">
        <v>0</v>
      </c>
      <c r="H761" s="18">
        <v>1</v>
      </c>
      <c r="I761" s="18">
        <v>3</v>
      </c>
      <c r="J761" s="18">
        <v>0</v>
      </c>
      <c r="K761" s="18">
        <v>1</v>
      </c>
      <c r="T761" s="3">
        <f t="shared" si="29"/>
        <v>5</v>
      </c>
      <c r="U761" s="3">
        <v>10</v>
      </c>
      <c r="V761" s="3">
        <v>4</v>
      </c>
      <c r="X761" s="2" t="s">
        <v>1913</v>
      </c>
      <c r="Y761" s="18">
        <v>2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N761" s="3">
        <f t="shared" si="28"/>
        <v>2</v>
      </c>
      <c r="AO761" s="3">
        <v>7</v>
      </c>
      <c r="AP761" s="3">
        <v>1</v>
      </c>
      <c r="AR761" s="2" t="s">
        <v>19</v>
      </c>
    </row>
    <row r="762" spans="1:44" ht="12.75" customHeight="1">
      <c r="A762" s="5">
        <v>36993</v>
      </c>
      <c r="C762" s="2" t="s">
        <v>137</v>
      </c>
      <c r="E762" s="18">
        <v>0</v>
      </c>
      <c r="F762" s="18">
        <v>0</v>
      </c>
      <c r="G762" s="18">
        <v>0</v>
      </c>
      <c r="H762" s="18">
        <v>5</v>
      </c>
      <c r="I762" s="18">
        <v>2</v>
      </c>
      <c r="J762" s="18">
        <v>5</v>
      </c>
      <c r="T762" s="3">
        <f t="shared" si="29"/>
        <v>12</v>
      </c>
      <c r="U762" s="3">
        <v>12</v>
      </c>
      <c r="V762" s="3">
        <v>3</v>
      </c>
      <c r="X762" s="2" t="s">
        <v>101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  <c r="AN762" s="3">
        <f t="shared" si="28"/>
        <v>0</v>
      </c>
      <c r="AO762" s="3">
        <v>2</v>
      </c>
      <c r="AP762" s="3">
        <v>2</v>
      </c>
      <c r="AR762" s="2" t="s">
        <v>102</v>
      </c>
    </row>
    <row r="763" spans="1:44" ht="12.75" customHeight="1">
      <c r="A763" s="8">
        <v>37362</v>
      </c>
      <c r="B763" s="2" t="s">
        <v>152</v>
      </c>
      <c r="C763" s="2" t="s">
        <v>137</v>
      </c>
      <c r="E763" s="18">
        <v>2</v>
      </c>
      <c r="F763" s="18">
        <v>2</v>
      </c>
      <c r="G763" s="18">
        <v>0</v>
      </c>
      <c r="H763" s="18">
        <v>1</v>
      </c>
      <c r="I763" s="18">
        <v>0</v>
      </c>
      <c r="J763" s="18">
        <v>0</v>
      </c>
      <c r="K763" s="18">
        <v>0</v>
      </c>
      <c r="T763" s="3">
        <f t="shared" si="29"/>
        <v>5</v>
      </c>
      <c r="U763" s="3">
        <v>9</v>
      </c>
      <c r="V763" s="3">
        <v>0</v>
      </c>
      <c r="X763" s="2" t="s">
        <v>114</v>
      </c>
      <c r="Y763" s="18">
        <v>3</v>
      </c>
      <c r="Z763" s="18">
        <v>0</v>
      </c>
      <c r="AA763" s="18">
        <v>0</v>
      </c>
      <c r="AB763" s="18">
        <v>0</v>
      </c>
      <c r="AC763" s="18">
        <v>1</v>
      </c>
      <c r="AD763" s="18">
        <v>3</v>
      </c>
      <c r="AE763" s="18" t="s">
        <v>162</v>
      </c>
      <c r="AN763" s="3">
        <f t="shared" si="28"/>
        <v>7</v>
      </c>
      <c r="AO763" s="3">
        <v>10</v>
      </c>
      <c r="AP763" s="3">
        <v>2</v>
      </c>
      <c r="AR763" s="2" t="s">
        <v>1421</v>
      </c>
    </row>
    <row r="764" spans="1:44" ht="12.75" customHeight="1">
      <c r="A764" s="8">
        <v>37721</v>
      </c>
      <c r="C764" s="2" t="s">
        <v>137</v>
      </c>
      <c r="E764" s="18">
        <v>3</v>
      </c>
      <c r="F764" s="18">
        <v>1</v>
      </c>
      <c r="G764" s="18">
        <v>6</v>
      </c>
      <c r="H764" s="18">
        <v>0</v>
      </c>
      <c r="I764" s="18">
        <v>2</v>
      </c>
      <c r="J764" s="18">
        <v>3</v>
      </c>
      <c r="T764" s="3">
        <f t="shared" si="29"/>
        <v>15</v>
      </c>
      <c r="U764" s="3">
        <v>11</v>
      </c>
      <c r="V764" s="3">
        <v>2</v>
      </c>
      <c r="X764" s="2" t="s">
        <v>92</v>
      </c>
      <c r="Y764" s="18">
        <v>0</v>
      </c>
      <c r="Z764" s="18">
        <v>0</v>
      </c>
      <c r="AA764" s="18">
        <v>2</v>
      </c>
      <c r="AB764" s="18">
        <v>1</v>
      </c>
      <c r="AC764" s="18">
        <v>2</v>
      </c>
      <c r="AD764" s="18">
        <v>0</v>
      </c>
      <c r="AN764" s="3">
        <f t="shared" si="28"/>
        <v>5</v>
      </c>
      <c r="AO764" s="3">
        <v>8</v>
      </c>
      <c r="AP764" s="3">
        <v>9</v>
      </c>
      <c r="AR764" s="2" t="s">
        <v>2390</v>
      </c>
    </row>
    <row r="765" spans="1:44" ht="12.75" customHeight="1">
      <c r="A765" s="8">
        <v>38092</v>
      </c>
      <c r="B765" s="2" t="s">
        <v>152</v>
      </c>
      <c r="C765" s="2" t="s">
        <v>137</v>
      </c>
      <c r="E765" s="18">
        <v>0</v>
      </c>
      <c r="F765" s="18">
        <v>0</v>
      </c>
      <c r="G765" s="18">
        <v>0</v>
      </c>
      <c r="H765" s="18">
        <v>3</v>
      </c>
      <c r="I765" s="18">
        <v>0</v>
      </c>
      <c r="J765" s="18">
        <v>0</v>
      </c>
      <c r="K765" s="18">
        <v>1</v>
      </c>
      <c r="T765" s="3">
        <f t="shared" si="29"/>
        <v>4</v>
      </c>
      <c r="U765" s="3">
        <v>6</v>
      </c>
      <c r="V765" s="3">
        <v>1</v>
      </c>
      <c r="X765" s="2" t="s">
        <v>510</v>
      </c>
      <c r="Y765" s="18">
        <v>0</v>
      </c>
      <c r="Z765" s="18">
        <v>0</v>
      </c>
      <c r="AA765" s="18">
        <v>1</v>
      </c>
      <c r="AB765" s="18">
        <v>2</v>
      </c>
      <c r="AC765" s="18">
        <v>0</v>
      </c>
      <c r="AD765" s="18">
        <v>4</v>
      </c>
      <c r="AN765" s="3">
        <f t="shared" si="28"/>
        <v>7</v>
      </c>
      <c r="AO765" s="3">
        <v>11</v>
      </c>
      <c r="AP765" s="3">
        <v>3</v>
      </c>
      <c r="AR765" s="2" t="s">
        <v>511</v>
      </c>
    </row>
    <row r="766" spans="1:44" ht="12.75" customHeight="1">
      <c r="A766" s="5">
        <f>DATE(2005,4,12)</f>
        <v>38454</v>
      </c>
      <c r="C766" s="2" t="s">
        <v>137</v>
      </c>
      <c r="E766" s="18">
        <v>0</v>
      </c>
      <c r="F766" s="18">
        <v>0</v>
      </c>
      <c r="G766" s="18">
        <v>1</v>
      </c>
      <c r="H766" s="18">
        <v>0</v>
      </c>
      <c r="I766" s="18">
        <v>0</v>
      </c>
      <c r="J766" s="18">
        <v>0</v>
      </c>
      <c r="K766" s="18">
        <v>0</v>
      </c>
      <c r="T766" s="3">
        <f t="shared" si="29"/>
        <v>1</v>
      </c>
      <c r="U766" s="3">
        <v>3</v>
      </c>
      <c r="V766" s="3">
        <v>0</v>
      </c>
      <c r="X766" s="2" t="s">
        <v>532</v>
      </c>
      <c r="Y766" s="18">
        <v>1</v>
      </c>
      <c r="Z766" s="18">
        <v>0</v>
      </c>
      <c r="AA766" s="18">
        <v>1</v>
      </c>
      <c r="AB766" s="18">
        <v>1</v>
      </c>
      <c r="AC766" s="18">
        <v>0</v>
      </c>
      <c r="AD766" s="18">
        <v>0</v>
      </c>
      <c r="AE766" s="18">
        <v>0</v>
      </c>
      <c r="AN766" s="3">
        <f t="shared" si="28"/>
        <v>3</v>
      </c>
      <c r="AO766" s="3">
        <v>8</v>
      </c>
      <c r="AP766" s="3">
        <v>1</v>
      </c>
      <c r="AR766" s="2" t="s">
        <v>542</v>
      </c>
    </row>
    <row r="767" spans="1:44" ht="12.75" customHeight="1">
      <c r="A767" s="5">
        <v>38820</v>
      </c>
      <c r="B767" s="2" t="s">
        <v>152</v>
      </c>
      <c r="C767" s="2" t="s">
        <v>137</v>
      </c>
      <c r="E767" s="18">
        <v>2</v>
      </c>
      <c r="F767" s="18">
        <v>0</v>
      </c>
      <c r="G767" s="18">
        <v>2</v>
      </c>
      <c r="H767" s="18">
        <v>0</v>
      </c>
      <c r="I767" s="18">
        <v>0</v>
      </c>
      <c r="J767" s="18">
        <v>2</v>
      </c>
      <c r="K767" s="18">
        <v>5</v>
      </c>
      <c r="T767" s="3">
        <f t="shared" si="29"/>
        <v>11</v>
      </c>
      <c r="U767" s="3">
        <v>14</v>
      </c>
      <c r="V767" s="3">
        <v>2</v>
      </c>
      <c r="X767" s="2" t="s">
        <v>211</v>
      </c>
      <c r="Y767" s="18">
        <v>2</v>
      </c>
      <c r="Z767" s="18">
        <v>0</v>
      </c>
      <c r="AA767" s="18">
        <v>1</v>
      </c>
      <c r="AB767" s="18">
        <v>0</v>
      </c>
      <c r="AC767" s="18">
        <v>1</v>
      </c>
      <c r="AD767" s="18">
        <v>0</v>
      </c>
      <c r="AE767" s="18">
        <v>4</v>
      </c>
      <c r="AN767" s="3">
        <f t="shared" si="28"/>
        <v>8</v>
      </c>
      <c r="AO767" s="3">
        <v>8</v>
      </c>
      <c r="AP767" s="3">
        <v>6</v>
      </c>
      <c r="AR767" s="2" t="s">
        <v>216</v>
      </c>
    </row>
    <row r="768" spans="1:44" ht="12.75" customHeight="1">
      <c r="A768" s="5">
        <v>39171</v>
      </c>
      <c r="C768" s="2" t="s">
        <v>137</v>
      </c>
      <c r="E768" s="18">
        <v>2</v>
      </c>
      <c r="F768" s="18">
        <v>2</v>
      </c>
      <c r="G768" s="18">
        <v>3</v>
      </c>
      <c r="H768" s="18">
        <v>7</v>
      </c>
      <c r="I768" s="18" t="s">
        <v>162</v>
      </c>
      <c r="T768" s="3">
        <f t="shared" si="29"/>
        <v>14</v>
      </c>
      <c r="U768" s="3">
        <v>9</v>
      </c>
      <c r="V768" s="3">
        <v>0</v>
      </c>
      <c r="X768" s="2" t="s">
        <v>464</v>
      </c>
      <c r="Y768" s="18">
        <v>0</v>
      </c>
      <c r="Z768" s="18">
        <v>1</v>
      </c>
      <c r="AA768" s="18">
        <v>0</v>
      </c>
      <c r="AB768" s="18">
        <v>0</v>
      </c>
      <c r="AC768" s="18">
        <v>0</v>
      </c>
      <c r="AN768" s="3">
        <f t="shared" si="28"/>
        <v>1</v>
      </c>
      <c r="AO768" s="3">
        <v>2</v>
      </c>
      <c r="AP768" s="3">
        <v>1</v>
      </c>
      <c r="AR768" s="2" t="s">
        <v>479</v>
      </c>
    </row>
    <row r="769" spans="1:44" ht="12.75" customHeight="1">
      <c r="A769" s="5">
        <v>39548</v>
      </c>
      <c r="B769" s="2" t="s">
        <v>152</v>
      </c>
      <c r="C769" s="2" t="s">
        <v>137</v>
      </c>
      <c r="E769" s="18">
        <v>1</v>
      </c>
      <c r="F769" s="18">
        <v>1</v>
      </c>
      <c r="G769" s="18">
        <v>4</v>
      </c>
      <c r="H769" s="18">
        <v>1</v>
      </c>
      <c r="I769" s="18">
        <v>1</v>
      </c>
      <c r="J769" s="18">
        <v>0</v>
      </c>
      <c r="K769" s="18">
        <v>0</v>
      </c>
      <c r="T769" s="3">
        <f t="shared" si="29"/>
        <v>8</v>
      </c>
      <c r="U769" s="3">
        <v>8</v>
      </c>
      <c r="V769" s="3">
        <v>5</v>
      </c>
      <c r="X769" s="2" t="s">
        <v>441</v>
      </c>
      <c r="Y769" s="18">
        <v>4</v>
      </c>
      <c r="Z769" s="18">
        <v>0</v>
      </c>
      <c r="AA769" s="18">
        <v>0</v>
      </c>
      <c r="AB769" s="18">
        <v>3</v>
      </c>
      <c r="AC769" s="18">
        <v>0</v>
      </c>
      <c r="AD769" s="18">
        <v>1</v>
      </c>
      <c r="AE769" s="18">
        <v>1</v>
      </c>
      <c r="AN769" s="3">
        <f t="shared" si="28"/>
        <v>9</v>
      </c>
      <c r="AO769" s="3">
        <v>11</v>
      </c>
      <c r="AP769" s="3">
        <v>3</v>
      </c>
      <c r="AR769" s="2" t="s">
        <v>440</v>
      </c>
    </row>
    <row r="770" spans="1:44" ht="12.75" customHeight="1">
      <c r="A770" s="5">
        <v>40673</v>
      </c>
      <c r="C770" s="2" t="s">
        <v>137</v>
      </c>
      <c r="E770" s="18">
        <v>3</v>
      </c>
      <c r="F770" s="18">
        <v>0</v>
      </c>
      <c r="G770" s="18">
        <v>0</v>
      </c>
      <c r="H770" s="18">
        <v>1</v>
      </c>
      <c r="I770" s="18">
        <v>7</v>
      </c>
      <c r="J770" s="18">
        <v>0</v>
      </c>
      <c r="K770" s="18" t="s">
        <v>162</v>
      </c>
      <c r="T770" s="3">
        <f t="shared" si="29"/>
        <v>11</v>
      </c>
      <c r="U770" s="3">
        <v>9</v>
      </c>
      <c r="V770" s="3">
        <v>3</v>
      </c>
      <c r="X770" s="2" t="s">
        <v>1982</v>
      </c>
      <c r="Y770" s="18">
        <v>2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1</v>
      </c>
      <c r="AN770" s="3">
        <f t="shared" si="28"/>
        <v>3</v>
      </c>
      <c r="AO770" s="3">
        <v>6</v>
      </c>
      <c r="AP770" s="3">
        <v>3</v>
      </c>
      <c r="AR770" s="2" t="s">
        <v>1983</v>
      </c>
    </row>
    <row r="771" spans="1:44" ht="12.75" customHeight="1">
      <c r="A771" s="4">
        <f>DATE(72,4,25)</f>
        <v>26414</v>
      </c>
      <c r="C771" s="2" t="s">
        <v>378</v>
      </c>
      <c r="E771" s="18">
        <v>2</v>
      </c>
      <c r="F771" s="18">
        <v>0</v>
      </c>
      <c r="G771" s="18">
        <v>2</v>
      </c>
      <c r="H771" s="18">
        <v>0</v>
      </c>
      <c r="I771" s="18">
        <v>3</v>
      </c>
      <c r="J771" s="18">
        <v>1</v>
      </c>
      <c r="K771" s="18" t="s">
        <v>162</v>
      </c>
      <c r="T771" s="3">
        <v>8</v>
      </c>
      <c r="U771" s="3">
        <v>10</v>
      </c>
      <c r="V771" s="3">
        <v>2</v>
      </c>
      <c r="X771" s="2" t="s">
        <v>971</v>
      </c>
      <c r="Y771" s="18">
        <v>1</v>
      </c>
      <c r="Z771" s="18">
        <v>0</v>
      </c>
      <c r="AA771" s="18">
        <v>0</v>
      </c>
      <c r="AB771" s="18">
        <v>0</v>
      </c>
      <c r="AC771" s="18">
        <v>4</v>
      </c>
      <c r="AD771" s="18">
        <v>0</v>
      </c>
      <c r="AE771" s="18">
        <v>0</v>
      </c>
      <c r="AN771" s="3">
        <v>5</v>
      </c>
      <c r="AO771" s="3">
        <v>5</v>
      </c>
      <c r="AP771" s="3">
        <v>4</v>
      </c>
      <c r="AR771" s="2" t="s">
        <v>975</v>
      </c>
    </row>
    <row r="772" spans="1:44" ht="12.75" customHeight="1">
      <c r="A772" s="4">
        <f>DATE(72,5,18)</f>
        <v>26437</v>
      </c>
      <c r="B772" s="2" t="s">
        <v>152</v>
      </c>
      <c r="C772" s="2" t="s">
        <v>378</v>
      </c>
      <c r="E772" s="18">
        <v>1</v>
      </c>
      <c r="F772" s="18">
        <v>0</v>
      </c>
      <c r="G772" s="18">
        <v>0</v>
      </c>
      <c r="H772" s="18">
        <v>0</v>
      </c>
      <c r="I772" s="18">
        <v>0</v>
      </c>
      <c r="J772" s="18">
        <v>2</v>
      </c>
      <c r="K772" s="18">
        <v>1</v>
      </c>
      <c r="T772" s="3">
        <v>4</v>
      </c>
      <c r="U772" s="3">
        <v>5</v>
      </c>
      <c r="V772" s="3">
        <v>2</v>
      </c>
      <c r="X772" s="2" t="s">
        <v>971</v>
      </c>
      <c r="Y772" s="18">
        <v>0</v>
      </c>
      <c r="Z772" s="18">
        <v>0</v>
      </c>
      <c r="AA772" s="18">
        <v>0</v>
      </c>
      <c r="AB772" s="18">
        <v>1</v>
      </c>
      <c r="AC772" s="18">
        <v>1</v>
      </c>
      <c r="AD772" s="18">
        <v>0</v>
      </c>
      <c r="AE772" s="18">
        <v>0</v>
      </c>
      <c r="AN772" s="3">
        <v>2</v>
      </c>
      <c r="AO772" s="3">
        <v>5</v>
      </c>
      <c r="AP772" s="3">
        <v>4</v>
      </c>
      <c r="AR772" s="2" t="s">
        <v>984</v>
      </c>
    </row>
    <row r="773" spans="1:44" ht="12.75" customHeight="1">
      <c r="A773" s="4">
        <f>DATE(73,4,30)</f>
        <v>26784</v>
      </c>
      <c r="C773" s="2" t="s">
        <v>378</v>
      </c>
      <c r="E773" s="18">
        <v>1</v>
      </c>
      <c r="F773" s="18">
        <v>1</v>
      </c>
      <c r="G773" s="18">
        <v>0</v>
      </c>
      <c r="H773" s="18">
        <v>1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T773" s="3">
        <v>3</v>
      </c>
      <c r="U773" s="3">
        <v>7</v>
      </c>
      <c r="V773" s="3">
        <v>4</v>
      </c>
      <c r="X773" s="2" t="s">
        <v>1003</v>
      </c>
      <c r="Y773" s="18">
        <v>1</v>
      </c>
      <c r="Z773" s="18">
        <v>0</v>
      </c>
      <c r="AA773" s="18">
        <v>2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1</v>
      </c>
      <c r="AN773" s="3">
        <v>4</v>
      </c>
      <c r="AO773" s="3">
        <v>6</v>
      </c>
      <c r="AP773" s="3">
        <v>2</v>
      </c>
      <c r="AR773" s="2" t="s">
        <v>1004</v>
      </c>
    </row>
    <row r="774" spans="1:44" ht="12.75" customHeight="1">
      <c r="A774" s="4">
        <f>DATE(73,5,22)</f>
        <v>26806</v>
      </c>
      <c r="B774" s="2" t="s">
        <v>152</v>
      </c>
      <c r="C774" s="2" t="s">
        <v>378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4</v>
      </c>
      <c r="K774" s="18">
        <v>0</v>
      </c>
      <c r="T774" s="3">
        <v>4</v>
      </c>
      <c r="U774" s="3">
        <v>10</v>
      </c>
      <c r="V774" s="3">
        <v>2</v>
      </c>
      <c r="X774" s="2" t="s">
        <v>996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N774" s="3">
        <v>0</v>
      </c>
      <c r="AO774" s="3">
        <v>3</v>
      </c>
      <c r="AP774" s="3">
        <v>0</v>
      </c>
      <c r="AR774" s="2" t="s">
        <v>1016</v>
      </c>
    </row>
    <row r="775" spans="1:44" ht="12.75" customHeight="1">
      <c r="A775" s="4">
        <f>DATE(74,4,30)</f>
        <v>27149</v>
      </c>
      <c r="C775" s="2" t="s">
        <v>378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3</v>
      </c>
      <c r="T775" s="3">
        <v>3</v>
      </c>
      <c r="U775" s="3">
        <v>5</v>
      </c>
      <c r="V775" s="3">
        <v>5</v>
      </c>
      <c r="X775" s="2" t="s">
        <v>1027</v>
      </c>
      <c r="Y775" s="18">
        <v>0</v>
      </c>
      <c r="Z775" s="18">
        <v>1</v>
      </c>
      <c r="AA775" s="18">
        <v>0</v>
      </c>
      <c r="AB775" s="18">
        <v>0</v>
      </c>
      <c r="AC775" s="18">
        <v>0</v>
      </c>
      <c r="AD775" s="18">
        <v>0</v>
      </c>
      <c r="AE775" s="18">
        <v>1</v>
      </c>
      <c r="AN775" s="3">
        <v>2</v>
      </c>
      <c r="AO775" s="3">
        <v>3</v>
      </c>
      <c r="AP775" s="3">
        <v>1</v>
      </c>
      <c r="AR775" s="2" t="s">
        <v>1028</v>
      </c>
    </row>
    <row r="776" spans="1:44" ht="12.75" customHeight="1">
      <c r="A776" s="4">
        <f>DATE(75,4,8)</f>
        <v>27492</v>
      </c>
      <c r="B776" s="2" t="s">
        <v>152</v>
      </c>
      <c r="C776" s="2" t="s">
        <v>378</v>
      </c>
      <c r="E776" s="18">
        <v>2</v>
      </c>
      <c r="F776" s="18">
        <v>0</v>
      </c>
      <c r="G776" s="18">
        <v>1</v>
      </c>
      <c r="H776" s="18">
        <v>2</v>
      </c>
      <c r="I776" s="18">
        <v>0</v>
      </c>
      <c r="J776" s="18">
        <v>1</v>
      </c>
      <c r="K776" s="18">
        <v>0</v>
      </c>
      <c r="T776" s="3">
        <v>6</v>
      </c>
      <c r="U776" s="3">
        <v>4</v>
      </c>
      <c r="V776" s="3">
        <v>2</v>
      </c>
      <c r="X776" s="2" t="s">
        <v>1038</v>
      </c>
      <c r="Y776" s="18">
        <v>1</v>
      </c>
      <c r="Z776" s="18">
        <v>1</v>
      </c>
      <c r="AA776" s="18">
        <v>3</v>
      </c>
      <c r="AB776" s="18">
        <v>0</v>
      </c>
      <c r="AC776" s="18">
        <v>0</v>
      </c>
      <c r="AD776" s="18">
        <v>0</v>
      </c>
      <c r="AE776" s="18">
        <v>2</v>
      </c>
      <c r="AN776" s="3">
        <v>7</v>
      </c>
      <c r="AO776" s="3">
        <v>12</v>
      </c>
      <c r="AP776" s="3">
        <v>5</v>
      </c>
      <c r="AR776" s="2" t="s">
        <v>1039</v>
      </c>
    </row>
    <row r="777" spans="1:44" ht="12.75" customHeight="1">
      <c r="A777" s="4">
        <f>DATE(75,5,16)</f>
        <v>27530</v>
      </c>
      <c r="C777" s="2" t="s">
        <v>378</v>
      </c>
      <c r="E777" s="18">
        <v>0</v>
      </c>
      <c r="F777" s="18">
        <v>0</v>
      </c>
      <c r="G777" s="18">
        <v>0</v>
      </c>
      <c r="H777" s="18">
        <v>0</v>
      </c>
      <c r="I777" s="18">
        <v>1</v>
      </c>
      <c r="J777" s="18">
        <v>1</v>
      </c>
      <c r="K777" s="18" t="s">
        <v>162</v>
      </c>
      <c r="T777" s="3">
        <v>2</v>
      </c>
      <c r="U777" s="3">
        <v>5</v>
      </c>
      <c r="V777" s="3">
        <v>2</v>
      </c>
      <c r="X777" s="2" t="s">
        <v>1032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N777" s="3">
        <v>0</v>
      </c>
      <c r="AO777" s="3">
        <v>5</v>
      </c>
      <c r="AP777" s="3">
        <v>1</v>
      </c>
      <c r="AR777" s="2" t="s">
        <v>1060</v>
      </c>
    </row>
    <row r="778" spans="1:44" ht="12.75" customHeight="1">
      <c r="A778" s="4">
        <f>DATE(76,4,8)</f>
        <v>27858</v>
      </c>
      <c r="B778" s="2" t="s">
        <v>152</v>
      </c>
      <c r="C778" s="2" t="s">
        <v>378</v>
      </c>
      <c r="E778" s="18">
        <v>2</v>
      </c>
      <c r="F778" s="18">
        <v>0</v>
      </c>
      <c r="G778" s="18">
        <v>1</v>
      </c>
      <c r="H778" s="18">
        <v>0</v>
      </c>
      <c r="I778" s="18">
        <v>0</v>
      </c>
      <c r="J778" s="18">
        <v>1</v>
      </c>
      <c r="K778" s="18">
        <v>0</v>
      </c>
      <c r="L778" s="18">
        <v>0</v>
      </c>
      <c r="T778" s="3">
        <v>4</v>
      </c>
      <c r="U778" s="3">
        <v>3</v>
      </c>
      <c r="V778" s="3">
        <v>5</v>
      </c>
      <c r="X778" s="2" t="s">
        <v>1066</v>
      </c>
      <c r="Y778" s="18">
        <v>0</v>
      </c>
      <c r="Z778" s="18">
        <v>0</v>
      </c>
      <c r="AA778" s="18">
        <v>0</v>
      </c>
      <c r="AB778" s="18">
        <v>0</v>
      </c>
      <c r="AC778" s="18">
        <v>1</v>
      </c>
      <c r="AD778" s="18">
        <v>0</v>
      </c>
      <c r="AE778" s="18">
        <v>3</v>
      </c>
      <c r="AF778" s="18">
        <v>1</v>
      </c>
      <c r="AN778" s="3">
        <v>5</v>
      </c>
      <c r="AO778" s="3">
        <v>6</v>
      </c>
      <c r="AP778" s="3">
        <v>3</v>
      </c>
      <c r="AR778" s="2" t="s">
        <v>1067</v>
      </c>
    </row>
    <row r="779" spans="1:44" ht="12.75" customHeight="1">
      <c r="A779" s="4">
        <f>DATE(76,5,4)</f>
        <v>27884</v>
      </c>
      <c r="C779" s="2" t="s">
        <v>378</v>
      </c>
      <c r="E779" s="18">
        <v>1</v>
      </c>
      <c r="F779" s="18">
        <v>0</v>
      </c>
      <c r="G779" s="18">
        <v>0</v>
      </c>
      <c r="H779" s="18">
        <v>0</v>
      </c>
      <c r="I779" s="18">
        <v>6</v>
      </c>
      <c r="J779" s="18">
        <v>0</v>
      </c>
      <c r="K779" s="18" t="s">
        <v>162</v>
      </c>
      <c r="T779" s="3">
        <v>7</v>
      </c>
      <c r="U779" s="3">
        <v>9</v>
      </c>
      <c r="V779" s="3">
        <v>2</v>
      </c>
      <c r="X779" s="2" t="s">
        <v>1086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D779" s="18">
        <v>2</v>
      </c>
      <c r="AE779" s="18">
        <v>0</v>
      </c>
      <c r="AN779" s="3">
        <v>2</v>
      </c>
      <c r="AO779" s="3">
        <v>5</v>
      </c>
      <c r="AP779" s="3">
        <v>3</v>
      </c>
      <c r="AR779" s="2" t="s">
        <v>1087</v>
      </c>
    </row>
    <row r="780" spans="1:44" ht="12.75" customHeight="1">
      <c r="A780" s="4">
        <f>DATE(77,4,12)</f>
        <v>28227</v>
      </c>
      <c r="B780" s="2" t="s">
        <v>152</v>
      </c>
      <c r="C780" s="2" t="s">
        <v>378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T780" s="3">
        <v>0</v>
      </c>
      <c r="U780" s="3">
        <v>6</v>
      </c>
      <c r="V780" s="3">
        <v>2</v>
      </c>
      <c r="X780" s="2" t="s">
        <v>1100</v>
      </c>
      <c r="Y780" s="18">
        <v>0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  <c r="AE780" s="18">
        <v>0</v>
      </c>
      <c r="AF780" s="18">
        <v>0</v>
      </c>
      <c r="AG780" s="18">
        <v>1</v>
      </c>
      <c r="AN780" s="3">
        <v>1</v>
      </c>
      <c r="AO780" s="3">
        <v>3</v>
      </c>
      <c r="AP780" s="3">
        <v>1</v>
      </c>
      <c r="AR780" s="2" t="s">
        <v>1101</v>
      </c>
    </row>
    <row r="781" spans="1:44" ht="12.75" customHeight="1">
      <c r="A781" s="4">
        <f>DATE(77,5,9)</f>
        <v>28254</v>
      </c>
      <c r="C781" s="2" t="s">
        <v>378</v>
      </c>
      <c r="E781" s="18">
        <v>0</v>
      </c>
      <c r="F781" s="18">
        <v>2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T781" s="3">
        <v>2</v>
      </c>
      <c r="U781" s="3">
        <v>5</v>
      </c>
      <c r="V781" s="3">
        <v>2</v>
      </c>
      <c r="X781" s="2" t="s">
        <v>1070</v>
      </c>
      <c r="Y781" s="18">
        <v>0</v>
      </c>
      <c r="Z781" s="18">
        <v>0</v>
      </c>
      <c r="AA781" s="18">
        <v>0</v>
      </c>
      <c r="AB781" s="18">
        <v>0</v>
      </c>
      <c r="AC781" s="18">
        <v>0</v>
      </c>
      <c r="AD781" s="18">
        <v>3</v>
      </c>
      <c r="AE781" s="18">
        <v>0</v>
      </c>
      <c r="AN781" s="3">
        <v>3</v>
      </c>
      <c r="AO781" s="3">
        <v>5</v>
      </c>
      <c r="AP781" s="3">
        <v>4</v>
      </c>
      <c r="AR781" s="2" t="s">
        <v>1131</v>
      </c>
    </row>
    <row r="782" spans="1:44" ht="12.75" customHeight="1">
      <c r="A782" s="4">
        <f>DATE(78,4,13)</f>
        <v>28593</v>
      </c>
      <c r="B782" s="2" t="s">
        <v>152</v>
      </c>
      <c r="C782" s="2" t="s">
        <v>378</v>
      </c>
      <c r="E782" s="18">
        <v>0</v>
      </c>
      <c r="F782" s="18">
        <v>0</v>
      </c>
      <c r="G782" s="18">
        <v>3</v>
      </c>
      <c r="H782" s="18">
        <v>0</v>
      </c>
      <c r="I782" s="18">
        <v>0</v>
      </c>
      <c r="J782" s="18">
        <v>3</v>
      </c>
      <c r="K782" s="18">
        <v>0</v>
      </c>
      <c r="T782" s="3">
        <v>6</v>
      </c>
      <c r="U782" s="3">
        <v>6</v>
      </c>
      <c r="V782" s="3">
        <v>2</v>
      </c>
      <c r="X782" s="2" t="s">
        <v>1149</v>
      </c>
      <c r="Y782" s="18">
        <v>0</v>
      </c>
      <c r="Z782" s="18">
        <v>0</v>
      </c>
      <c r="AA782" s="18">
        <v>1</v>
      </c>
      <c r="AB782" s="18">
        <v>2</v>
      </c>
      <c r="AC782" s="18">
        <v>0</v>
      </c>
      <c r="AD782" s="18">
        <v>0</v>
      </c>
      <c r="AE782" s="18">
        <v>0</v>
      </c>
      <c r="AN782" s="3">
        <v>3</v>
      </c>
      <c r="AO782" s="3">
        <v>6</v>
      </c>
      <c r="AP782" s="3">
        <v>3</v>
      </c>
      <c r="AR782" s="2" t="s">
        <v>1163</v>
      </c>
    </row>
    <row r="783" spans="1:44" ht="12.75" customHeight="1">
      <c r="A783" s="4">
        <f>DATE(78,5,10)</f>
        <v>28620</v>
      </c>
      <c r="C783" s="2" t="s">
        <v>378</v>
      </c>
      <c r="E783" s="18">
        <v>0</v>
      </c>
      <c r="F783" s="18">
        <v>2</v>
      </c>
      <c r="G783" s="18">
        <v>0</v>
      </c>
      <c r="H783" s="18">
        <v>1</v>
      </c>
      <c r="I783" s="18">
        <v>2</v>
      </c>
      <c r="J783" s="18">
        <v>0</v>
      </c>
      <c r="K783" s="18">
        <v>1</v>
      </c>
      <c r="L783" s="18">
        <v>1</v>
      </c>
      <c r="T783" s="3">
        <v>7</v>
      </c>
      <c r="U783" s="3">
        <v>10</v>
      </c>
      <c r="V783" s="3">
        <v>5</v>
      </c>
      <c r="X783" s="2" t="s">
        <v>1177</v>
      </c>
      <c r="Y783" s="18">
        <v>0</v>
      </c>
      <c r="Z783" s="18">
        <v>1</v>
      </c>
      <c r="AA783" s="18">
        <v>0</v>
      </c>
      <c r="AB783" s="18">
        <v>0</v>
      </c>
      <c r="AC783" s="18">
        <v>0</v>
      </c>
      <c r="AD783" s="18">
        <v>5</v>
      </c>
      <c r="AE783" s="18">
        <v>0</v>
      </c>
      <c r="AF783" s="18">
        <v>0</v>
      </c>
      <c r="AN783" s="3">
        <v>6</v>
      </c>
      <c r="AO783" s="3">
        <v>5</v>
      </c>
      <c r="AP783" s="3">
        <v>4</v>
      </c>
      <c r="AR783" s="2" t="s">
        <v>1131</v>
      </c>
    </row>
    <row r="784" spans="1:44" ht="12.75" customHeight="1">
      <c r="A784" s="4">
        <f>DATE(79,4,17)</f>
        <v>28962</v>
      </c>
      <c r="B784" s="2" t="s">
        <v>152</v>
      </c>
      <c r="C784" s="2" t="s">
        <v>378</v>
      </c>
      <c r="E784" s="18">
        <v>1</v>
      </c>
      <c r="F784" s="18">
        <v>0</v>
      </c>
      <c r="G784" s="18">
        <v>0</v>
      </c>
      <c r="H784" s="18">
        <v>0</v>
      </c>
      <c r="I784" s="18">
        <v>6</v>
      </c>
      <c r="J784" s="18">
        <v>1</v>
      </c>
      <c r="K784" s="18">
        <v>3</v>
      </c>
      <c r="T784" s="3">
        <v>11</v>
      </c>
      <c r="U784" s="3">
        <v>11</v>
      </c>
      <c r="V784" s="3">
        <v>2</v>
      </c>
      <c r="X784" s="2" t="s">
        <v>1178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1</v>
      </c>
      <c r="AE784" s="18" t="s">
        <v>162</v>
      </c>
      <c r="AN784" s="3">
        <v>1</v>
      </c>
      <c r="AO784" s="3">
        <v>0</v>
      </c>
      <c r="AP784" s="3">
        <v>1</v>
      </c>
      <c r="AR784" s="2" t="s">
        <v>1201</v>
      </c>
    </row>
    <row r="785" spans="1:44" ht="12.75" customHeight="1">
      <c r="A785" s="4">
        <f>DATE(79,5,11)</f>
        <v>28986</v>
      </c>
      <c r="C785" s="2" t="s">
        <v>378</v>
      </c>
      <c r="E785" s="18">
        <v>0</v>
      </c>
      <c r="F785" s="18">
        <v>2</v>
      </c>
      <c r="G785" s="18">
        <v>3</v>
      </c>
      <c r="H785" s="18">
        <v>0</v>
      </c>
      <c r="I785" s="18">
        <v>1</v>
      </c>
      <c r="J785" s="18">
        <v>2</v>
      </c>
      <c r="K785" s="18" t="s">
        <v>162</v>
      </c>
      <c r="T785" s="3">
        <v>8</v>
      </c>
      <c r="U785" s="3">
        <v>11</v>
      </c>
      <c r="V785" s="3">
        <v>0</v>
      </c>
      <c r="X785" s="2" t="s">
        <v>1195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N785" s="3">
        <v>0</v>
      </c>
      <c r="AO785" s="3">
        <v>3</v>
      </c>
      <c r="AP785" s="3">
        <v>4</v>
      </c>
      <c r="AR785" s="2" t="s">
        <v>1217</v>
      </c>
    </row>
    <row r="786" spans="1:44" ht="12.75" customHeight="1">
      <c r="A786" s="4">
        <f>DATE(79,5,12)</f>
        <v>28987</v>
      </c>
      <c r="B786" s="2" t="s">
        <v>239</v>
      </c>
      <c r="C786" s="2" t="s">
        <v>378</v>
      </c>
      <c r="E786" s="18">
        <v>0</v>
      </c>
      <c r="F786" s="18">
        <v>0</v>
      </c>
      <c r="G786" s="18">
        <v>0</v>
      </c>
      <c r="H786" s="18">
        <v>7</v>
      </c>
      <c r="I786" s="18">
        <v>1</v>
      </c>
      <c r="J786" s="18">
        <v>0</v>
      </c>
      <c r="K786" s="18" t="s">
        <v>162</v>
      </c>
      <c r="T786" s="3">
        <v>8</v>
      </c>
      <c r="U786" s="3">
        <v>8</v>
      </c>
      <c r="V786" s="3">
        <v>1</v>
      </c>
      <c r="X786" s="2" t="s">
        <v>1218</v>
      </c>
      <c r="Y786" s="18">
        <v>0</v>
      </c>
      <c r="Z786" s="18">
        <v>0</v>
      </c>
      <c r="AA786" s="18">
        <v>1</v>
      </c>
      <c r="AB786" s="18">
        <v>0</v>
      </c>
      <c r="AC786" s="18">
        <v>0</v>
      </c>
      <c r="AD786" s="18">
        <v>0</v>
      </c>
      <c r="AE786" s="18">
        <v>0</v>
      </c>
      <c r="AN786" s="3">
        <v>1</v>
      </c>
      <c r="AO786" s="3">
        <v>3</v>
      </c>
      <c r="AP786" s="3">
        <v>4</v>
      </c>
      <c r="AR786" s="2" t="s">
        <v>1219</v>
      </c>
    </row>
    <row r="787" spans="1:44" ht="12.75" customHeight="1">
      <c r="A787" s="4">
        <f>DATE(80,4,24)</f>
        <v>29335</v>
      </c>
      <c r="B787" s="2" t="s">
        <v>152</v>
      </c>
      <c r="C787" s="2" t="s">
        <v>378</v>
      </c>
      <c r="E787" s="18">
        <v>0</v>
      </c>
      <c r="F787" s="18">
        <v>1</v>
      </c>
      <c r="G787" s="18">
        <v>7</v>
      </c>
      <c r="H787" s="18">
        <v>1</v>
      </c>
      <c r="I787" s="18">
        <v>3</v>
      </c>
      <c r="T787" s="3">
        <v>12</v>
      </c>
      <c r="U787" s="3">
        <v>15</v>
      </c>
      <c r="V787" s="3">
        <v>2</v>
      </c>
      <c r="X787" s="2" t="s">
        <v>1258</v>
      </c>
      <c r="Y787" s="18">
        <v>1</v>
      </c>
      <c r="Z787" s="18">
        <v>0</v>
      </c>
      <c r="AA787" s="18">
        <v>1</v>
      </c>
      <c r="AB787" s="18">
        <v>0</v>
      </c>
      <c r="AC787" s="18">
        <v>0</v>
      </c>
      <c r="AN787" s="3">
        <v>2</v>
      </c>
      <c r="AO787" s="3">
        <v>4</v>
      </c>
      <c r="AP787" s="3">
        <v>3</v>
      </c>
      <c r="AR787" s="2" t="s">
        <v>1259</v>
      </c>
    </row>
    <row r="788" spans="1:44" ht="12.75" customHeight="1">
      <c r="A788" s="4">
        <f>DATE(80,5,20)</f>
        <v>29361</v>
      </c>
      <c r="C788" s="2" t="s">
        <v>378</v>
      </c>
      <c r="E788" s="18">
        <v>1</v>
      </c>
      <c r="F788" s="18">
        <v>1</v>
      </c>
      <c r="G788" s="18">
        <v>2</v>
      </c>
      <c r="H788" s="18">
        <v>3</v>
      </c>
      <c r="I788" s="18">
        <v>1</v>
      </c>
      <c r="J788" s="18">
        <v>0</v>
      </c>
      <c r="K788" s="18" t="s">
        <v>162</v>
      </c>
      <c r="T788" s="3">
        <v>8</v>
      </c>
      <c r="U788" s="3">
        <v>6</v>
      </c>
      <c r="V788" s="3">
        <v>2</v>
      </c>
      <c r="X788" s="2" t="s">
        <v>1254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  <c r="AE788" s="18">
        <v>1</v>
      </c>
      <c r="AN788" s="3">
        <v>1</v>
      </c>
      <c r="AO788" s="3">
        <v>5</v>
      </c>
      <c r="AP788" s="3">
        <v>0</v>
      </c>
      <c r="AR788" s="2" t="s">
        <v>1306</v>
      </c>
    </row>
    <row r="789" spans="1:44" ht="12.75" customHeight="1">
      <c r="A789" s="4">
        <f>DATE(81,5,1)</f>
        <v>29707</v>
      </c>
      <c r="B789" s="2" t="s">
        <v>152</v>
      </c>
      <c r="C789" s="2" t="s">
        <v>378</v>
      </c>
      <c r="E789" s="18">
        <v>0</v>
      </c>
      <c r="F789" s="18">
        <v>13</v>
      </c>
      <c r="G789" s="18">
        <v>8</v>
      </c>
      <c r="H789" s="18">
        <v>6</v>
      </c>
      <c r="I789" s="18" t="s">
        <v>158</v>
      </c>
      <c r="T789" s="3">
        <v>27</v>
      </c>
      <c r="U789" s="3">
        <v>30</v>
      </c>
      <c r="V789" s="3">
        <v>0</v>
      </c>
      <c r="X789" s="2" t="s">
        <v>1247</v>
      </c>
      <c r="Y789" s="18">
        <v>0</v>
      </c>
      <c r="Z789" s="18">
        <v>0</v>
      </c>
      <c r="AA789" s="18">
        <v>0</v>
      </c>
      <c r="AB789" s="18">
        <v>2</v>
      </c>
      <c r="AC789" s="18">
        <v>0</v>
      </c>
      <c r="AN789" s="3">
        <v>2</v>
      </c>
      <c r="AO789" s="3">
        <v>3</v>
      </c>
      <c r="AP789" s="3">
        <v>6</v>
      </c>
      <c r="AR789" s="2" t="s">
        <v>1344</v>
      </c>
    </row>
    <row r="790" spans="1:44" ht="12.75" customHeight="1">
      <c r="A790" s="4">
        <f>DATE(81,5,21)</f>
        <v>29727</v>
      </c>
      <c r="C790" s="2" t="s">
        <v>378</v>
      </c>
      <c r="E790" s="18">
        <v>3</v>
      </c>
      <c r="F790" s="18">
        <v>0</v>
      </c>
      <c r="G790" s="18">
        <v>1</v>
      </c>
      <c r="H790" s="18">
        <v>11</v>
      </c>
      <c r="I790" s="18" t="s">
        <v>158</v>
      </c>
      <c r="T790" s="3">
        <v>15</v>
      </c>
      <c r="U790" s="3">
        <v>15</v>
      </c>
      <c r="V790" s="3">
        <v>4</v>
      </c>
      <c r="X790" s="2" t="s">
        <v>1296</v>
      </c>
      <c r="Y790" s="18">
        <v>1</v>
      </c>
      <c r="Z790" s="18">
        <v>0</v>
      </c>
      <c r="AA790" s="18">
        <v>2</v>
      </c>
      <c r="AB790" s="18">
        <v>0</v>
      </c>
      <c r="AC790" s="18">
        <v>0</v>
      </c>
      <c r="AN790" s="3">
        <v>3</v>
      </c>
      <c r="AO790" s="3">
        <v>5</v>
      </c>
      <c r="AP790" s="3">
        <v>3</v>
      </c>
      <c r="AR790" s="2" t="s">
        <v>1354</v>
      </c>
    </row>
    <row r="791" spans="1:44" ht="12.75" customHeight="1">
      <c r="A791" s="4">
        <f>DATE(91,6,4)</f>
        <v>33393</v>
      </c>
      <c r="B791" s="2" t="s">
        <v>239</v>
      </c>
      <c r="C791" s="2" t="s">
        <v>378</v>
      </c>
      <c r="D791" s="2" t="s">
        <v>260</v>
      </c>
      <c r="E791" s="18">
        <v>1</v>
      </c>
      <c r="F791" s="18">
        <v>3</v>
      </c>
      <c r="G791" s="18">
        <v>0</v>
      </c>
      <c r="H791" s="18">
        <v>3</v>
      </c>
      <c r="I791" s="18">
        <v>3</v>
      </c>
      <c r="J791" s="18">
        <v>6</v>
      </c>
      <c r="T791" s="3">
        <v>16</v>
      </c>
      <c r="U791" s="3">
        <v>16</v>
      </c>
      <c r="V791" s="3">
        <v>1</v>
      </c>
      <c r="X791" s="2" t="s">
        <v>1714</v>
      </c>
      <c r="Y791" s="18">
        <v>0</v>
      </c>
      <c r="Z791" s="18">
        <v>0</v>
      </c>
      <c r="AA791" s="18">
        <v>1</v>
      </c>
      <c r="AB791" s="18">
        <v>2</v>
      </c>
      <c r="AC791" s="18">
        <v>0</v>
      </c>
      <c r="AD791" s="18">
        <v>0</v>
      </c>
      <c r="AN791" s="3">
        <v>3</v>
      </c>
      <c r="AO791" s="3">
        <v>7</v>
      </c>
      <c r="AP791" s="3">
        <v>0</v>
      </c>
      <c r="AR791" s="2" t="s">
        <v>1768</v>
      </c>
    </row>
    <row r="792" spans="1:44" ht="12.75" customHeight="1">
      <c r="A792" s="5">
        <v>36291</v>
      </c>
      <c r="B792" s="2" t="s">
        <v>152</v>
      </c>
      <c r="C792" s="2" t="s">
        <v>378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T792" s="3">
        <f>SUM(E792:S792)</f>
        <v>0</v>
      </c>
      <c r="U792" s="3">
        <v>2</v>
      </c>
      <c r="V792" s="3">
        <v>2</v>
      </c>
      <c r="X792" s="2" t="s">
        <v>564</v>
      </c>
      <c r="Y792" s="18">
        <v>3</v>
      </c>
      <c r="Z792" s="18">
        <v>0</v>
      </c>
      <c r="AA792" s="18">
        <v>1</v>
      </c>
      <c r="AB792" s="18">
        <v>6</v>
      </c>
      <c r="AC792" s="18" t="s">
        <v>162</v>
      </c>
      <c r="AN792" s="3">
        <f>SUM(Y792:AM792)</f>
        <v>10</v>
      </c>
      <c r="AO792" s="3">
        <v>10</v>
      </c>
      <c r="AP792" s="3">
        <v>3</v>
      </c>
      <c r="AR792" s="2" t="s">
        <v>627</v>
      </c>
    </row>
    <row r="793" spans="1:44" ht="12.75" customHeight="1">
      <c r="A793" s="20">
        <v>1945</v>
      </c>
      <c r="C793" s="2" t="s">
        <v>182</v>
      </c>
      <c r="T793" s="3">
        <v>8</v>
      </c>
      <c r="U793" s="3" t="s">
        <v>162</v>
      </c>
      <c r="V793" s="3" t="s">
        <v>162</v>
      </c>
      <c r="X793" s="2" t="s">
        <v>27</v>
      </c>
      <c r="AN793" s="3">
        <v>15</v>
      </c>
      <c r="AO793" s="3" t="s">
        <v>162</v>
      </c>
      <c r="AP793" s="3" t="s">
        <v>162</v>
      </c>
      <c r="AR793" s="2" t="s">
        <v>27</v>
      </c>
    </row>
    <row r="794" spans="1:44" ht="12.75" customHeight="1">
      <c r="A794" s="20">
        <v>1945</v>
      </c>
      <c r="C794" s="2" t="s">
        <v>182</v>
      </c>
      <c r="T794" s="3">
        <v>1</v>
      </c>
      <c r="U794" s="3" t="s">
        <v>162</v>
      </c>
      <c r="V794" s="3" t="s">
        <v>162</v>
      </c>
      <c r="X794" s="2" t="s">
        <v>27</v>
      </c>
      <c r="AN794" s="3">
        <v>2</v>
      </c>
      <c r="AO794" s="3" t="s">
        <v>162</v>
      </c>
      <c r="AP794" s="3" t="s">
        <v>162</v>
      </c>
      <c r="AR794" s="2" t="s">
        <v>27</v>
      </c>
    </row>
    <row r="795" spans="1:44" ht="12.75" customHeight="1">
      <c r="A795" s="4">
        <v>16923</v>
      </c>
      <c r="C795" s="2" t="s">
        <v>182</v>
      </c>
      <c r="E795" s="18">
        <v>0</v>
      </c>
      <c r="F795" s="18">
        <v>0</v>
      </c>
      <c r="G795" s="18">
        <v>0</v>
      </c>
      <c r="H795" s="18">
        <v>0</v>
      </c>
      <c r="I795" s="18">
        <v>1</v>
      </c>
      <c r="J795" s="18">
        <v>0</v>
      </c>
      <c r="K795" s="18">
        <v>2</v>
      </c>
      <c r="T795" s="3">
        <v>3</v>
      </c>
      <c r="U795" s="3">
        <v>3</v>
      </c>
      <c r="V795" s="3">
        <v>0</v>
      </c>
      <c r="X795" s="2" t="s">
        <v>402</v>
      </c>
      <c r="Y795" s="18">
        <v>0</v>
      </c>
      <c r="Z795" s="18">
        <v>0</v>
      </c>
      <c r="AA795" s="18">
        <v>3</v>
      </c>
      <c r="AB795" s="18">
        <v>3</v>
      </c>
      <c r="AC795" s="18">
        <v>1</v>
      </c>
      <c r="AD795" s="18">
        <v>0</v>
      </c>
      <c r="AE795" s="18">
        <v>0</v>
      </c>
      <c r="AN795" s="3">
        <v>7</v>
      </c>
      <c r="AO795" s="3">
        <v>10</v>
      </c>
      <c r="AP795" s="3">
        <v>5</v>
      </c>
      <c r="AR795" s="2" t="s">
        <v>403</v>
      </c>
    </row>
    <row r="796" spans="1:44" ht="12.75" customHeight="1">
      <c r="A796" s="4">
        <v>16922</v>
      </c>
      <c r="C796" s="2" t="s">
        <v>184</v>
      </c>
      <c r="E796" s="18">
        <v>2</v>
      </c>
      <c r="F796" s="18">
        <v>0</v>
      </c>
      <c r="G796" s="18">
        <v>3</v>
      </c>
      <c r="H796" s="18">
        <v>1</v>
      </c>
      <c r="I796" s="18">
        <v>0</v>
      </c>
      <c r="J796" s="18">
        <v>0</v>
      </c>
      <c r="K796" s="18" t="s">
        <v>162</v>
      </c>
      <c r="T796" s="3">
        <v>6</v>
      </c>
      <c r="U796" s="3">
        <v>6</v>
      </c>
      <c r="V796" s="3">
        <v>3</v>
      </c>
      <c r="X796" s="2" t="s">
        <v>400</v>
      </c>
      <c r="Y796" s="18">
        <v>2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N796" s="3">
        <v>2</v>
      </c>
      <c r="AO796" s="3">
        <v>3</v>
      </c>
      <c r="AP796" s="3">
        <v>3</v>
      </c>
      <c r="AR796" s="2" t="s">
        <v>401</v>
      </c>
    </row>
    <row r="797" spans="1:44" ht="12.75" customHeight="1">
      <c r="A797" s="4">
        <v>16937</v>
      </c>
      <c r="B797" s="2" t="s">
        <v>152</v>
      </c>
      <c r="C797" s="2" t="s">
        <v>184</v>
      </c>
      <c r="E797" s="18">
        <v>1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T797" s="3">
        <v>1</v>
      </c>
      <c r="U797" s="3">
        <v>2</v>
      </c>
      <c r="V797" s="3">
        <v>4</v>
      </c>
      <c r="X797" s="2" t="s">
        <v>1931</v>
      </c>
      <c r="Y797" s="18">
        <v>1</v>
      </c>
      <c r="Z797" s="18">
        <v>0</v>
      </c>
      <c r="AA797" s="18">
        <v>0</v>
      </c>
      <c r="AB797" s="18">
        <v>2</v>
      </c>
      <c r="AC797" s="18">
        <v>0</v>
      </c>
      <c r="AD797" s="18">
        <v>2</v>
      </c>
      <c r="AE797" s="18" t="s">
        <v>162</v>
      </c>
      <c r="AN797" s="3">
        <v>5</v>
      </c>
      <c r="AO797" s="3">
        <v>2</v>
      </c>
      <c r="AP797" s="3">
        <v>0</v>
      </c>
      <c r="AR797" s="2" t="s">
        <v>407</v>
      </c>
    </row>
    <row r="798" spans="1:44" ht="12.75" customHeight="1">
      <c r="A798" s="4">
        <f>DATE(70,6,1)</f>
        <v>25720</v>
      </c>
      <c r="B798" s="2" t="s">
        <v>239</v>
      </c>
      <c r="C798" s="2" t="s">
        <v>373</v>
      </c>
      <c r="D798" s="2" t="s">
        <v>243</v>
      </c>
      <c r="E798" s="18">
        <v>3</v>
      </c>
      <c r="F798" s="18">
        <v>0</v>
      </c>
      <c r="G798" s="18">
        <v>0</v>
      </c>
      <c r="H798" s="18">
        <v>0</v>
      </c>
      <c r="I798" s="18">
        <v>1</v>
      </c>
      <c r="J798" s="18">
        <v>0</v>
      </c>
      <c r="K798" s="18">
        <v>1</v>
      </c>
      <c r="T798" s="3">
        <v>5</v>
      </c>
      <c r="U798" s="3">
        <v>9</v>
      </c>
      <c r="V798" s="3">
        <v>1</v>
      </c>
      <c r="X798" s="2" t="s">
        <v>924</v>
      </c>
      <c r="Y798" s="18">
        <v>0</v>
      </c>
      <c r="Z798" s="18">
        <v>0</v>
      </c>
      <c r="AA798" s="18">
        <v>3</v>
      </c>
      <c r="AB798" s="18">
        <v>0</v>
      </c>
      <c r="AC798" s="18">
        <v>0</v>
      </c>
      <c r="AD798" s="18">
        <v>0</v>
      </c>
      <c r="AE798" s="18">
        <v>0</v>
      </c>
      <c r="AN798" s="3">
        <v>3</v>
      </c>
      <c r="AO798" s="3">
        <v>8</v>
      </c>
      <c r="AP798" s="3">
        <v>4</v>
      </c>
      <c r="AR798" s="2" t="s">
        <v>933</v>
      </c>
    </row>
    <row r="799" spans="1:44" ht="12.75" customHeight="1">
      <c r="A799" s="4">
        <f>DATE(81,4,18)</f>
        <v>29694</v>
      </c>
      <c r="C799" s="2" t="s">
        <v>373</v>
      </c>
      <c r="E799" s="18">
        <v>2</v>
      </c>
      <c r="F799" s="18">
        <v>4</v>
      </c>
      <c r="G799" s="18">
        <v>7</v>
      </c>
      <c r="H799" s="18">
        <v>4</v>
      </c>
      <c r="I799" s="18" t="s">
        <v>158</v>
      </c>
      <c r="T799" s="3">
        <v>17</v>
      </c>
      <c r="U799" s="3">
        <v>10</v>
      </c>
      <c r="V799" s="3">
        <v>1</v>
      </c>
      <c r="X799" s="2" t="s">
        <v>1334</v>
      </c>
      <c r="Y799" s="18">
        <v>1</v>
      </c>
      <c r="Z799" s="18">
        <v>0</v>
      </c>
      <c r="AA799" s="18">
        <v>0</v>
      </c>
      <c r="AB799" s="18">
        <v>0</v>
      </c>
      <c r="AC799" s="18">
        <v>0</v>
      </c>
      <c r="AN799" s="3">
        <v>1</v>
      </c>
      <c r="AO799" s="3">
        <v>3</v>
      </c>
      <c r="AP799" s="3">
        <v>1</v>
      </c>
      <c r="AR799" s="2" t="s">
        <v>1335</v>
      </c>
    </row>
    <row r="800" spans="1:44" ht="12.75" customHeight="1">
      <c r="A800" s="4">
        <f>DATE(81,4,18)</f>
        <v>29694</v>
      </c>
      <c r="C800" s="2" t="s">
        <v>373</v>
      </c>
      <c r="E800" s="18">
        <v>2</v>
      </c>
      <c r="F800" s="18">
        <v>0</v>
      </c>
      <c r="G800" s="18">
        <v>5</v>
      </c>
      <c r="H800" s="18">
        <v>6</v>
      </c>
      <c r="I800" s="18">
        <v>0</v>
      </c>
      <c r="J800" s="18">
        <v>1</v>
      </c>
      <c r="K800" s="18" t="s">
        <v>162</v>
      </c>
      <c r="T800" s="3">
        <v>14</v>
      </c>
      <c r="U800" s="3">
        <v>14</v>
      </c>
      <c r="V800" s="3">
        <v>4</v>
      </c>
      <c r="X800" s="2" t="s">
        <v>1336</v>
      </c>
      <c r="Y800" s="18">
        <v>5</v>
      </c>
      <c r="Z800" s="18">
        <v>0</v>
      </c>
      <c r="AA800" s="18">
        <v>0</v>
      </c>
      <c r="AB800" s="18">
        <v>0</v>
      </c>
      <c r="AC800" s="18">
        <v>0</v>
      </c>
      <c r="AD800" s="18">
        <v>3</v>
      </c>
      <c r="AE800" s="18">
        <v>3</v>
      </c>
      <c r="AN800" s="3">
        <v>11</v>
      </c>
      <c r="AO800" s="3">
        <v>9</v>
      </c>
      <c r="AP800" s="3">
        <v>2</v>
      </c>
      <c r="AR800" s="2" t="s">
        <v>298</v>
      </c>
    </row>
    <row r="801" spans="1:44" ht="12.75" customHeight="1">
      <c r="A801" s="4">
        <v>36246</v>
      </c>
      <c r="B801" s="2" t="s">
        <v>152</v>
      </c>
      <c r="C801" s="2" t="s">
        <v>1910</v>
      </c>
      <c r="T801" s="3">
        <v>8</v>
      </c>
      <c r="U801" s="3">
        <v>13</v>
      </c>
      <c r="V801" s="3" t="s">
        <v>162</v>
      </c>
      <c r="X801" s="2" t="s">
        <v>2015</v>
      </c>
      <c r="AN801" s="3" t="s">
        <v>162</v>
      </c>
      <c r="AO801" s="3" t="s">
        <v>162</v>
      </c>
      <c r="AP801" s="3" t="s">
        <v>162</v>
      </c>
      <c r="AR801" s="2" t="s">
        <v>27</v>
      </c>
    </row>
    <row r="802" spans="1:44" ht="12.75" customHeight="1">
      <c r="A802" s="4">
        <v>36610</v>
      </c>
      <c r="B802" s="2" t="s">
        <v>152</v>
      </c>
      <c r="C802" s="2" t="s">
        <v>1910</v>
      </c>
      <c r="E802" s="18">
        <v>0</v>
      </c>
      <c r="F802" s="18">
        <v>1</v>
      </c>
      <c r="G802" s="18">
        <v>4</v>
      </c>
      <c r="H802" s="18">
        <v>0</v>
      </c>
      <c r="I802" s="18">
        <v>1</v>
      </c>
      <c r="J802" s="18">
        <v>4</v>
      </c>
      <c r="K802" s="18">
        <v>0</v>
      </c>
      <c r="T802" s="3">
        <f aca="true" t="shared" si="30" ref="T802:T810">SUM(E802:S802)</f>
        <v>10</v>
      </c>
      <c r="U802" s="3">
        <v>13</v>
      </c>
      <c r="V802" s="3">
        <v>4</v>
      </c>
      <c r="X802" s="2" t="s">
        <v>1911</v>
      </c>
      <c r="Y802" s="18">
        <v>0</v>
      </c>
      <c r="Z802" s="18">
        <v>5</v>
      </c>
      <c r="AA802" s="18">
        <v>0</v>
      </c>
      <c r="AB802" s="18">
        <v>0</v>
      </c>
      <c r="AC802" s="18">
        <v>6</v>
      </c>
      <c r="AD802" s="18">
        <v>0</v>
      </c>
      <c r="AN802" s="3">
        <f aca="true" t="shared" si="31" ref="AN802:AN810">SUM(Y802:AM802)</f>
        <v>11</v>
      </c>
      <c r="AO802" s="3">
        <v>6</v>
      </c>
      <c r="AP802" s="3">
        <v>6</v>
      </c>
      <c r="AR802" s="2" t="s">
        <v>1912</v>
      </c>
    </row>
    <row r="803" spans="1:44" ht="12.75" customHeight="1">
      <c r="A803" s="8">
        <v>37338</v>
      </c>
      <c r="B803" s="2" t="s">
        <v>152</v>
      </c>
      <c r="C803" s="2" t="s">
        <v>1910</v>
      </c>
      <c r="E803" s="18">
        <v>0</v>
      </c>
      <c r="F803" s="18">
        <v>0</v>
      </c>
      <c r="G803" s="18">
        <v>2</v>
      </c>
      <c r="H803" s="18">
        <v>0</v>
      </c>
      <c r="I803" s="18">
        <v>4</v>
      </c>
      <c r="J803" s="18">
        <v>0</v>
      </c>
      <c r="K803" s="18">
        <v>0</v>
      </c>
      <c r="T803" s="3">
        <f t="shared" si="30"/>
        <v>6</v>
      </c>
      <c r="U803" s="3">
        <v>8</v>
      </c>
      <c r="V803" s="3">
        <v>4</v>
      </c>
      <c r="X803" s="2" t="s">
        <v>1419</v>
      </c>
      <c r="Y803" s="18">
        <v>1</v>
      </c>
      <c r="Z803" s="18">
        <v>0</v>
      </c>
      <c r="AA803" s="18">
        <v>2</v>
      </c>
      <c r="AB803" s="18">
        <v>0</v>
      </c>
      <c r="AC803" s="18">
        <v>3</v>
      </c>
      <c r="AD803" s="18">
        <v>0</v>
      </c>
      <c r="AE803" s="18">
        <v>1</v>
      </c>
      <c r="AN803" s="3">
        <f t="shared" si="31"/>
        <v>7</v>
      </c>
      <c r="AO803" s="3">
        <v>6</v>
      </c>
      <c r="AP803" s="3">
        <v>3</v>
      </c>
      <c r="AR803" s="2" t="s">
        <v>1426</v>
      </c>
    </row>
    <row r="804" spans="1:44" ht="12.75" customHeight="1">
      <c r="A804" s="8">
        <v>37702</v>
      </c>
      <c r="B804" s="2" t="s">
        <v>152</v>
      </c>
      <c r="C804" s="2" t="s">
        <v>1910</v>
      </c>
      <c r="E804" s="18">
        <v>0</v>
      </c>
      <c r="F804" s="18">
        <v>3</v>
      </c>
      <c r="G804" s="18">
        <v>0</v>
      </c>
      <c r="H804" s="18">
        <v>1</v>
      </c>
      <c r="I804" s="18">
        <v>0</v>
      </c>
      <c r="J804" s="18">
        <v>6</v>
      </c>
      <c r="K804" s="18">
        <v>1</v>
      </c>
      <c r="T804" s="3">
        <f t="shared" si="30"/>
        <v>11</v>
      </c>
      <c r="U804" s="3">
        <v>10</v>
      </c>
      <c r="V804" s="3">
        <v>3</v>
      </c>
      <c r="X804" s="2" t="s">
        <v>101</v>
      </c>
      <c r="Y804" s="18">
        <v>1</v>
      </c>
      <c r="Z804" s="18">
        <v>0</v>
      </c>
      <c r="AA804" s="18">
        <v>2</v>
      </c>
      <c r="AB804" s="18">
        <v>0</v>
      </c>
      <c r="AC804" s="18">
        <v>1</v>
      </c>
      <c r="AD804" s="18">
        <v>0</v>
      </c>
      <c r="AE804" s="18">
        <v>0</v>
      </c>
      <c r="AN804" s="3">
        <f t="shared" si="31"/>
        <v>4</v>
      </c>
      <c r="AO804" s="3">
        <v>6</v>
      </c>
      <c r="AP804" s="3">
        <v>4</v>
      </c>
      <c r="AR804" s="2" t="s">
        <v>610</v>
      </c>
    </row>
    <row r="805" spans="1:44" ht="12.75" customHeight="1">
      <c r="A805" s="8">
        <v>38073</v>
      </c>
      <c r="B805" s="2" t="s">
        <v>152</v>
      </c>
      <c r="C805" s="2" t="s">
        <v>1910</v>
      </c>
      <c r="E805" s="18">
        <v>0</v>
      </c>
      <c r="F805" s="18">
        <v>2</v>
      </c>
      <c r="G805" s="18">
        <v>1</v>
      </c>
      <c r="H805" s="18">
        <v>1</v>
      </c>
      <c r="I805" s="18">
        <v>1</v>
      </c>
      <c r="J805" s="18">
        <v>0</v>
      </c>
      <c r="K805" s="18">
        <v>0</v>
      </c>
      <c r="T805" s="3">
        <f t="shared" si="30"/>
        <v>5</v>
      </c>
      <c r="U805" s="3">
        <v>10</v>
      </c>
      <c r="V805" s="3">
        <v>2</v>
      </c>
      <c r="X805" s="2" t="s">
        <v>594</v>
      </c>
      <c r="Y805" s="18">
        <v>0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  <c r="AE805" s="18">
        <v>0</v>
      </c>
      <c r="AN805" s="3">
        <f t="shared" si="31"/>
        <v>0</v>
      </c>
      <c r="AO805" s="3">
        <v>1</v>
      </c>
      <c r="AP805" s="3">
        <v>1</v>
      </c>
      <c r="AR805" s="2" t="s">
        <v>508</v>
      </c>
    </row>
    <row r="806" spans="1:44" ht="12.75" customHeight="1">
      <c r="A806" s="8">
        <f>DATE(2005,3,26)</f>
        <v>38437</v>
      </c>
      <c r="B806" s="2" t="s">
        <v>152</v>
      </c>
      <c r="C806" s="2" t="s">
        <v>1910</v>
      </c>
      <c r="E806" s="18">
        <v>0</v>
      </c>
      <c r="F806" s="18">
        <v>0</v>
      </c>
      <c r="G806" s="18">
        <v>1</v>
      </c>
      <c r="H806" s="18">
        <v>2</v>
      </c>
      <c r="I806" s="18">
        <v>0</v>
      </c>
      <c r="J806" s="18">
        <v>1</v>
      </c>
      <c r="K806" s="18">
        <v>3</v>
      </c>
      <c r="T806" s="3">
        <f t="shared" si="30"/>
        <v>7</v>
      </c>
      <c r="U806" s="3">
        <v>11</v>
      </c>
      <c r="V806" s="3">
        <v>1</v>
      </c>
      <c r="X806" s="2" t="s">
        <v>532</v>
      </c>
      <c r="Y806" s="18">
        <v>1</v>
      </c>
      <c r="Z806" s="18">
        <v>0</v>
      </c>
      <c r="AA806" s="18">
        <v>0</v>
      </c>
      <c r="AB806" s="18">
        <v>0</v>
      </c>
      <c r="AC806" s="18">
        <v>0</v>
      </c>
      <c r="AD806" s="18">
        <v>1</v>
      </c>
      <c r="AE806" s="18">
        <v>0</v>
      </c>
      <c r="AN806" s="3">
        <f t="shared" si="31"/>
        <v>2</v>
      </c>
      <c r="AO806" s="3">
        <v>4</v>
      </c>
      <c r="AP806" s="3">
        <v>2</v>
      </c>
      <c r="AR806" s="2" t="s">
        <v>533</v>
      </c>
    </row>
    <row r="807" spans="1:44" ht="12.75" customHeight="1">
      <c r="A807" s="5">
        <v>38801</v>
      </c>
      <c r="B807" s="2" t="s">
        <v>152</v>
      </c>
      <c r="C807" s="2" t="s">
        <v>1910</v>
      </c>
      <c r="E807" s="18">
        <v>0</v>
      </c>
      <c r="F807" s="18">
        <v>6</v>
      </c>
      <c r="G807" s="18">
        <v>3</v>
      </c>
      <c r="H807" s="18">
        <v>0</v>
      </c>
      <c r="I807" s="18">
        <v>1</v>
      </c>
      <c r="J807" s="18">
        <v>1</v>
      </c>
      <c r="K807" s="18">
        <v>1</v>
      </c>
      <c r="T807" s="3">
        <f t="shared" si="30"/>
        <v>12</v>
      </c>
      <c r="U807" s="3">
        <v>15</v>
      </c>
      <c r="V807" s="3">
        <v>4</v>
      </c>
      <c r="X807" s="2" t="s">
        <v>208</v>
      </c>
      <c r="Y807" s="18">
        <v>1</v>
      </c>
      <c r="Z807" s="18">
        <v>1</v>
      </c>
      <c r="AA807" s="18">
        <v>0</v>
      </c>
      <c r="AB807" s="18">
        <v>7</v>
      </c>
      <c r="AC807" s="18">
        <v>1</v>
      </c>
      <c r="AD807" s="18">
        <v>0</v>
      </c>
      <c r="AE807" s="18">
        <v>0</v>
      </c>
      <c r="AN807" s="3">
        <f t="shared" si="31"/>
        <v>10</v>
      </c>
      <c r="AO807" s="3">
        <v>11</v>
      </c>
      <c r="AP807" s="3">
        <v>2</v>
      </c>
      <c r="AR807" s="2" t="s">
        <v>2384</v>
      </c>
    </row>
    <row r="808" spans="1:44" ht="12.75" customHeight="1">
      <c r="A808" s="5">
        <v>39166</v>
      </c>
      <c r="B808" s="2" t="s">
        <v>152</v>
      </c>
      <c r="C808" s="2" t="s">
        <v>1910</v>
      </c>
      <c r="E808" s="18">
        <v>0</v>
      </c>
      <c r="F808" s="18">
        <v>0</v>
      </c>
      <c r="G808" s="18">
        <v>1</v>
      </c>
      <c r="H808" s="18">
        <v>0</v>
      </c>
      <c r="I808" s="18">
        <v>0</v>
      </c>
      <c r="J808" s="18">
        <v>0</v>
      </c>
      <c r="K808" s="18">
        <v>1</v>
      </c>
      <c r="T808" s="3">
        <f t="shared" si="30"/>
        <v>2</v>
      </c>
      <c r="U808" s="3">
        <v>6</v>
      </c>
      <c r="V808" s="3">
        <v>3</v>
      </c>
      <c r="X808" s="2" t="s">
        <v>463</v>
      </c>
      <c r="Y808" s="18">
        <v>0</v>
      </c>
      <c r="Z808" s="18">
        <v>0</v>
      </c>
      <c r="AA808" s="18">
        <v>3</v>
      </c>
      <c r="AB808" s="18">
        <v>1</v>
      </c>
      <c r="AC808" s="18">
        <v>4</v>
      </c>
      <c r="AD808" s="18">
        <v>0</v>
      </c>
      <c r="AE808" s="18" t="s">
        <v>162</v>
      </c>
      <c r="AN808" s="3">
        <f t="shared" si="31"/>
        <v>8</v>
      </c>
      <c r="AO808" s="3">
        <v>9</v>
      </c>
      <c r="AP808" s="3">
        <v>1</v>
      </c>
      <c r="AR808" s="2" t="s">
        <v>2385</v>
      </c>
    </row>
    <row r="809" spans="1:44" ht="12.75" customHeight="1">
      <c r="A809" s="5">
        <v>39529</v>
      </c>
      <c r="B809" s="2" t="s">
        <v>152</v>
      </c>
      <c r="C809" s="2" t="s">
        <v>1910</v>
      </c>
      <c r="E809" s="18">
        <v>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T809" s="3">
        <f t="shared" si="30"/>
        <v>0</v>
      </c>
      <c r="U809" s="3">
        <v>2</v>
      </c>
      <c r="V809" s="3">
        <v>5</v>
      </c>
      <c r="X809" s="2" t="s">
        <v>1494</v>
      </c>
      <c r="Y809" s="18">
        <v>0</v>
      </c>
      <c r="Z809" s="18">
        <v>3</v>
      </c>
      <c r="AA809" s="18">
        <v>0</v>
      </c>
      <c r="AB809" s="18">
        <v>0</v>
      </c>
      <c r="AC809" s="18">
        <v>5</v>
      </c>
      <c r="AD809" s="18">
        <v>1</v>
      </c>
      <c r="AE809" s="18" t="s">
        <v>162</v>
      </c>
      <c r="AN809" s="3">
        <f t="shared" si="31"/>
        <v>9</v>
      </c>
      <c r="AO809" s="3">
        <v>7</v>
      </c>
      <c r="AP809" s="3">
        <v>2</v>
      </c>
      <c r="AR809" s="2" t="s">
        <v>1495</v>
      </c>
    </row>
    <row r="810" spans="1:44" ht="12.75" customHeight="1">
      <c r="A810" s="5">
        <v>44354</v>
      </c>
      <c r="B810" s="2" t="s">
        <v>239</v>
      </c>
      <c r="C810" s="2" t="s">
        <v>2225</v>
      </c>
      <c r="D810" s="2" t="s">
        <v>260</v>
      </c>
      <c r="E810" s="18">
        <v>0</v>
      </c>
      <c r="F810" s="18">
        <v>0</v>
      </c>
      <c r="G810" s="18">
        <v>0</v>
      </c>
      <c r="H810" s="18">
        <v>0</v>
      </c>
      <c r="I810" s="18">
        <v>1</v>
      </c>
      <c r="J810" s="18">
        <v>0</v>
      </c>
      <c r="K810" s="18">
        <v>0</v>
      </c>
      <c r="T810" s="3">
        <f t="shared" si="30"/>
        <v>1</v>
      </c>
      <c r="U810" s="3">
        <v>4</v>
      </c>
      <c r="V810" s="3">
        <v>0</v>
      </c>
      <c r="X810" s="2" t="s">
        <v>2238</v>
      </c>
      <c r="Y810" s="18">
        <v>4</v>
      </c>
      <c r="Z810" s="18">
        <v>0</v>
      </c>
      <c r="AA810" s="18">
        <v>0</v>
      </c>
      <c r="AB810" s="18">
        <v>0</v>
      </c>
      <c r="AC810" s="18">
        <v>1</v>
      </c>
      <c r="AD810" s="18">
        <v>0</v>
      </c>
      <c r="AE810" s="18">
        <v>1</v>
      </c>
      <c r="AN810" s="3">
        <f t="shared" si="31"/>
        <v>6</v>
      </c>
      <c r="AO810" s="3">
        <v>10</v>
      </c>
      <c r="AP810" s="3">
        <v>1</v>
      </c>
      <c r="AR810" s="2" t="s">
        <v>2240</v>
      </c>
    </row>
    <row r="811" spans="1:44" ht="12.75" customHeight="1">
      <c r="A811" s="4">
        <f>DATE(79,3,22)</f>
        <v>28936</v>
      </c>
      <c r="B811" s="2" t="s">
        <v>239</v>
      </c>
      <c r="C811" s="2" t="s">
        <v>273</v>
      </c>
      <c r="E811" s="18">
        <v>1</v>
      </c>
      <c r="F811" s="18">
        <v>0</v>
      </c>
      <c r="G811" s="18">
        <v>0</v>
      </c>
      <c r="H811" s="18">
        <v>0</v>
      </c>
      <c r="I811" s="18">
        <v>2</v>
      </c>
      <c r="J811" s="18">
        <v>0</v>
      </c>
      <c r="K811" s="18" t="s">
        <v>162</v>
      </c>
      <c r="T811" s="3">
        <v>3</v>
      </c>
      <c r="U811" s="3">
        <v>5</v>
      </c>
      <c r="V811" s="3">
        <v>0</v>
      </c>
      <c r="X811" s="2" t="s">
        <v>1070</v>
      </c>
      <c r="Y811" s="18">
        <v>0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  <c r="AE811" s="18">
        <v>1</v>
      </c>
      <c r="AN811" s="3">
        <v>1</v>
      </c>
      <c r="AO811" s="3">
        <v>5</v>
      </c>
      <c r="AP811" s="3">
        <v>1</v>
      </c>
      <c r="AR811" s="2" t="s">
        <v>1186</v>
      </c>
    </row>
    <row r="812" spans="1:44" ht="12.75" customHeight="1">
      <c r="A812" s="4">
        <v>15460</v>
      </c>
      <c r="B812" s="2" t="s">
        <v>152</v>
      </c>
      <c r="C812" s="2" t="s">
        <v>178</v>
      </c>
      <c r="E812" s="18">
        <v>2</v>
      </c>
      <c r="F812" s="18">
        <v>2</v>
      </c>
      <c r="G812" s="18">
        <v>2</v>
      </c>
      <c r="H812" s="18">
        <v>3</v>
      </c>
      <c r="I812" s="18">
        <v>6</v>
      </c>
      <c r="J812" s="18">
        <v>1</v>
      </c>
      <c r="K812" s="18">
        <v>1</v>
      </c>
      <c r="T812" s="3">
        <v>17</v>
      </c>
      <c r="U812" s="3">
        <v>10</v>
      </c>
      <c r="V812" s="3">
        <v>1</v>
      </c>
      <c r="X812" s="2" t="s">
        <v>61</v>
      </c>
      <c r="Y812" s="18">
        <v>0</v>
      </c>
      <c r="Z812" s="18">
        <v>0</v>
      </c>
      <c r="AA812" s="18">
        <v>0</v>
      </c>
      <c r="AB812" s="18">
        <v>0</v>
      </c>
      <c r="AC812" s="18">
        <v>0</v>
      </c>
      <c r="AD812" s="18">
        <v>1</v>
      </c>
      <c r="AE812" s="18">
        <v>0</v>
      </c>
      <c r="AN812" s="3">
        <v>1</v>
      </c>
      <c r="AO812" s="3">
        <v>5</v>
      </c>
      <c r="AP812" s="3">
        <v>3</v>
      </c>
      <c r="AR812" s="2" t="s">
        <v>361</v>
      </c>
    </row>
    <row r="813" spans="1:44" ht="12.75" customHeight="1">
      <c r="A813" s="4">
        <v>15477</v>
      </c>
      <c r="C813" s="2" t="s">
        <v>178</v>
      </c>
      <c r="E813" s="18">
        <v>4</v>
      </c>
      <c r="F813" s="18">
        <v>6</v>
      </c>
      <c r="G813" s="18">
        <v>8</v>
      </c>
      <c r="H813" s="18">
        <v>0</v>
      </c>
      <c r="I813" s="18">
        <v>0</v>
      </c>
      <c r="J813" s="18">
        <v>2</v>
      </c>
      <c r="K813" s="18" t="s">
        <v>162</v>
      </c>
      <c r="T813" s="3">
        <v>20</v>
      </c>
      <c r="U813" s="3" t="s">
        <v>162</v>
      </c>
      <c r="V813" s="3" t="s">
        <v>162</v>
      </c>
      <c r="X813" s="2" t="s">
        <v>63</v>
      </c>
      <c r="Y813" s="18">
        <v>0</v>
      </c>
      <c r="Z813" s="18">
        <v>0</v>
      </c>
      <c r="AA813" s="18">
        <v>0</v>
      </c>
      <c r="AB813" s="18">
        <v>1</v>
      </c>
      <c r="AC813" s="18">
        <v>0</v>
      </c>
      <c r="AD813" s="18">
        <v>0</v>
      </c>
      <c r="AE813" s="18">
        <v>5</v>
      </c>
      <c r="AN813" s="3">
        <v>6</v>
      </c>
      <c r="AO813" s="3" t="s">
        <v>162</v>
      </c>
      <c r="AP813" s="3" t="s">
        <v>162</v>
      </c>
      <c r="AR813" s="2" t="s">
        <v>25</v>
      </c>
    </row>
    <row r="814" spans="1:44" ht="12.75" customHeight="1">
      <c r="A814" s="4">
        <v>18387</v>
      </c>
      <c r="B814" s="2" t="s">
        <v>152</v>
      </c>
      <c r="C814" s="2" t="s">
        <v>331</v>
      </c>
      <c r="E814" s="18">
        <v>0</v>
      </c>
      <c r="F814" s="18">
        <v>0</v>
      </c>
      <c r="G814" s="18">
        <v>0</v>
      </c>
      <c r="H814" s="18">
        <v>0</v>
      </c>
      <c r="I814" s="18">
        <v>1</v>
      </c>
      <c r="J814" s="18">
        <v>2</v>
      </c>
      <c r="K814" s="18">
        <v>1</v>
      </c>
      <c r="L814" s="18">
        <v>0</v>
      </c>
      <c r="T814" s="3">
        <f>SUM(E814:M814)</f>
        <v>4</v>
      </c>
      <c r="U814" s="3">
        <v>6</v>
      </c>
      <c r="V814" s="3">
        <v>5</v>
      </c>
      <c r="X814" s="2" t="s">
        <v>1933</v>
      </c>
      <c r="Y814" s="18">
        <v>0</v>
      </c>
      <c r="Z814" s="18">
        <v>0</v>
      </c>
      <c r="AA814" s="18">
        <v>0</v>
      </c>
      <c r="AB814" s="18">
        <v>0</v>
      </c>
      <c r="AC814" s="18">
        <v>2</v>
      </c>
      <c r="AD814" s="18">
        <v>0</v>
      </c>
      <c r="AE814" s="18">
        <v>2</v>
      </c>
      <c r="AF814" s="18">
        <v>1</v>
      </c>
      <c r="AN814" s="3">
        <v>5</v>
      </c>
      <c r="AO814" s="3">
        <v>6</v>
      </c>
      <c r="AP814" s="3">
        <v>3</v>
      </c>
      <c r="AR814" s="2" t="s">
        <v>411</v>
      </c>
    </row>
    <row r="815" spans="1:44" ht="12.75" customHeight="1">
      <c r="A815" s="4">
        <f>DATE(51,4,19)</f>
        <v>18737</v>
      </c>
      <c r="C815" s="2" t="s">
        <v>331</v>
      </c>
      <c r="E815" s="18">
        <v>4</v>
      </c>
      <c r="F815" s="18">
        <v>0</v>
      </c>
      <c r="G815" s="18">
        <v>0</v>
      </c>
      <c r="H815" s="18">
        <v>0</v>
      </c>
      <c r="I815" s="18">
        <v>1</v>
      </c>
      <c r="J815" s="18">
        <v>0</v>
      </c>
      <c r="K815" s="18" t="s">
        <v>162</v>
      </c>
      <c r="T815" s="3">
        <f>SUM(E815:M815)</f>
        <v>5</v>
      </c>
      <c r="U815" s="3">
        <v>5</v>
      </c>
      <c r="V815" s="3">
        <v>3</v>
      </c>
      <c r="X815" s="2" t="s">
        <v>417</v>
      </c>
      <c r="Y815" s="18">
        <v>0</v>
      </c>
      <c r="Z815" s="18">
        <v>1</v>
      </c>
      <c r="AA815" s="18">
        <v>2</v>
      </c>
      <c r="AB815" s="18">
        <v>0</v>
      </c>
      <c r="AC815" s="18">
        <v>0</v>
      </c>
      <c r="AD815" s="18">
        <v>0</v>
      </c>
      <c r="AE815" s="18">
        <v>0</v>
      </c>
      <c r="AN815" s="3">
        <v>3</v>
      </c>
      <c r="AO815" s="3">
        <v>4</v>
      </c>
      <c r="AP815" s="3">
        <v>3</v>
      </c>
      <c r="AR815" s="2" t="s">
        <v>418</v>
      </c>
    </row>
    <row r="816" spans="1:44" ht="12.75" customHeight="1">
      <c r="A816" s="4">
        <f>DATE(51,5,3)</f>
        <v>18751</v>
      </c>
      <c r="B816" s="2" t="s">
        <v>152</v>
      </c>
      <c r="C816" s="2" t="s">
        <v>331</v>
      </c>
      <c r="E816" s="18">
        <v>1</v>
      </c>
      <c r="F816" s="18">
        <v>1</v>
      </c>
      <c r="G816" s="18">
        <v>0</v>
      </c>
      <c r="H816" s="18">
        <v>0</v>
      </c>
      <c r="I816" s="18">
        <v>0</v>
      </c>
      <c r="J816" s="18">
        <v>4</v>
      </c>
      <c r="K816" s="18">
        <v>1</v>
      </c>
      <c r="T816" s="3">
        <f>SUM(E816:M816)</f>
        <v>7</v>
      </c>
      <c r="U816" s="3">
        <v>6</v>
      </c>
      <c r="V816" s="3">
        <v>0</v>
      </c>
      <c r="X816" s="2" t="s">
        <v>417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  <c r="AE816" s="18">
        <v>0</v>
      </c>
      <c r="AN816" s="3">
        <v>0</v>
      </c>
      <c r="AO816" s="3">
        <v>6</v>
      </c>
      <c r="AP816" s="3">
        <v>3</v>
      </c>
      <c r="AR816" s="2" t="s">
        <v>1946</v>
      </c>
    </row>
    <row r="817" spans="1:44" ht="12.75" customHeight="1">
      <c r="A817" s="4">
        <f>DATE(61,5,4)</f>
        <v>22405</v>
      </c>
      <c r="C817" s="2" t="s">
        <v>331</v>
      </c>
      <c r="E817" s="18">
        <v>0</v>
      </c>
      <c r="F817" s="18">
        <v>0</v>
      </c>
      <c r="G817" s="18">
        <v>0</v>
      </c>
      <c r="H817" s="18">
        <v>3</v>
      </c>
      <c r="I817" s="18">
        <v>1</v>
      </c>
      <c r="J817" s="18">
        <v>1</v>
      </c>
      <c r="K817" s="18" t="s">
        <v>162</v>
      </c>
      <c r="T817" s="3">
        <v>5</v>
      </c>
      <c r="U817" s="3">
        <v>7</v>
      </c>
      <c r="V817" s="3">
        <v>1</v>
      </c>
      <c r="X817" s="2" t="s">
        <v>713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N817" s="3">
        <v>0</v>
      </c>
      <c r="AO817" s="3">
        <v>2</v>
      </c>
      <c r="AP817" s="3">
        <v>2</v>
      </c>
      <c r="AR817" s="2" t="s">
        <v>752</v>
      </c>
    </row>
    <row r="818" spans="1:44" ht="12.75" customHeight="1">
      <c r="A818" s="4">
        <f>DATE(62,4,27)</f>
        <v>22763</v>
      </c>
      <c r="B818" s="2" t="s">
        <v>152</v>
      </c>
      <c r="C818" s="2" t="s">
        <v>331</v>
      </c>
      <c r="E818" s="18">
        <v>3</v>
      </c>
      <c r="F818" s="18">
        <v>0</v>
      </c>
      <c r="G818" s="18">
        <v>0</v>
      </c>
      <c r="H818" s="18">
        <v>0</v>
      </c>
      <c r="I818" s="18">
        <v>1</v>
      </c>
      <c r="J818" s="18">
        <v>0</v>
      </c>
      <c r="K818" s="18">
        <v>0</v>
      </c>
      <c r="T818" s="3">
        <v>4</v>
      </c>
      <c r="U818" s="3">
        <v>7</v>
      </c>
      <c r="V818" s="3">
        <v>4</v>
      </c>
      <c r="X818" s="2" t="s">
        <v>791</v>
      </c>
      <c r="Y818" s="18">
        <v>3</v>
      </c>
      <c r="Z818" s="18">
        <v>1</v>
      </c>
      <c r="AA818" s="18">
        <v>0</v>
      </c>
      <c r="AB818" s="18">
        <v>1</v>
      </c>
      <c r="AC818" s="18">
        <v>1</v>
      </c>
      <c r="AD818" s="18">
        <v>2</v>
      </c>
      <c r="AE818" s="18" t="s">
        <v>162</v>
      </c>
      <c r="AN818" s="3">
        <v>8</v>
      </c>
      <c r="AO818" s="3">
        <v>8</v>
      </c>
      <c r="AP818" s="3">
        <v>4</v>
      </c>
      <c r="AR818" s="2" t="s">
        <v>792</v>
      </c>
    </row>
    <row r="819" spans="1:44" ht="12.75" customHeight="1">
      <c r="A819" s="4">
        <f>DATE(62,5,17)</f>
        <v>22783</v>
      </c>
      <c r="C819" s="2" t="s">
        <v>331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T819" s="3">
        <v>0</v>
      </c>
      <c r="U819" s="3">
        <v>8</v>
      </c>
      <c r="V819" s="3">
        <v>2</v>
      </c>
      <c r="X819" s="2" t="s">
        <v>788</v>
      </c>
      <c r="Y819" s="18">
        <v>0</v>
      </c>
      <c r="Z819" s="18">
        <v>1</v>
      </c>
      <c r="AA819" s="18">
        <v>0</v>
      </c>
      <c r="AB819" s="18">
        <v>2</v>
      </c>
      <c r="AC819" s="18">
        <v>0</v>
      </c>
      <c r="AD819" s="18">
        <v>1</v>
      </c>
      <c r="AE819" s="18">
        <v>0</v>
      </c>
      <c r="AN819" s="3">
        <v>4</v>
      </c>
      <c r="AO819" s="3">
        <v>6</v>
      </c>
      <c r="AP819" s="3">
        <v>0</v>
      </c>
      <c r="AR819" s="2" t="s">
        <v>792</v>
      </c>
    </row>
    <row r="820" spans="1:44" ht="12.75" customHeight="1">
      <c r="A820" s="4">
        <f>DATE(63,4,26)</f>
        <v>23127</v>
      </c>
      <c r="C820" s="2" t="s">
        <v>331</v>
      </c>
      <c r="E820" s="18">
        <v>0</v>
      </c>
      <c r="F820" s="18">
        <v>0</v>
      </c>
      <c r="G820" s="18">
        <v>0</v>
      </c>
      <c r="H820" s="18">
        <v>3</v>
      </c>
      <c r="I820" s="18">
        <v>0</v>
      </c>
      <c r="J820" s="18">
        <v>0</v>
      </c>
      <c r="K820" s="18">
        <v>2</v>
      </c>
      <c r="T820" s="3">
        <v>5</v>
      </c>
      <c r="U820" s="3">
        <v>10</v>
      </c>
      <c r="V820" s="3">
        <v>3</v>
      </c>
      <c r="X820" s="2" t="s">
        <v>810</v>
      </c>
      <c r="Y820" s="18">
        <v>0</v>
      </c>
      <c r="Z820" s="18">
        <v>0</v>
      </c>
      <c r="AA820" s="18">
        <v>0</v>
      </c>
      <c r="AB820" s="18">
        <v>3</v>
      </c>
      <c r="AC820" s="18">
        <v>2</v>
      </c>
      <c r="AD820" s="18">
        <v>0</v>
      </c>
      <c r="AE820" s="18">
        <v>1</v>
      </c>
      <c r="AN820" s="3">
        <v>6</v>
      </c>
      <c r="AO820" s="3">
        <v>4</v>
      </c>
      <c r="AP820" s="3">
        <v>1</v>
      </c>
      <c r="AR820" s="2" t="s">
        <v>811</v>
      </c>
    </row>
    <row r="821" spans="1:44" ht="12.75" customHeight="1">
      <c r="A821" s="4">
        <f>DATE(63,5,3)</f>
        <v>23134</v>
      </c>
      <c r="B821" s="2" t="s">
        <v>152</v>
      </c>
      <c r="C821" s="2" t="s">
        <v>331</v>
      </c>
      <c r="E821" s="18">
        <v>5</v>
      </c>
      <c r="F821" s="18">
        <v>3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T821" s="3">
        <v>8</v>
      </c>
      <c r="U821" s="3">
        <v>15</v>
      </c>
      <c r="V821" s="3">
        <v>2</v>
      </c>
      <c r="X821" s="2" t="s">
        <v>818</v>
      </c>
      <c r="Y821" s="18">
        <v>0</v>
      </c>
      <c r="Z821" s="18">
        <v>2</v>
      </c>
      <c r="AA821" s="18">
        <v>0</v>
      </c>
      <c r="AB821" s="18">
        <v>4</v>
      </c>
      <c r="AC821" s="18">
        <v>0</v>
      </c>
      <c r="AD821" s="18">
        <v>1</v>
      </c>
      <c r="AE821" s="18">
        <v>2</v>
      </c>
      <c r="AN821" s="3">
        <v>9</v>
      </c>
      <c r="AO821" s="3">
        <v>4</v>
      </c>
      <c r="AP821" s="3">
        <v>3</v>
      </c>
      <c r="AR821" s="2" t="s">
        <v>819</v>
      </c>
    </row>
    <row r="822" spans="1:44" ht="12.75" customHeight="1">
      <c r="A822" s="4">
        <f>DATE(64,4,15)</f>
        <v>23482</v>
      </c>
      <c r="B822" s="2" t="s">
        <v>237</v>
      </c>
      <c r="C822" s="2" t="s">
        <v>331</v>
      </c>
      <c r="E822" s="18">
        <v>0</v>
      </c>
      <c r="F822" s="18">
        <v>0</v>
      </c>
      <c r="G822" s="18">
        <v>0</v>
      </c>
      <c r="H822" s="18">
        <v>3</v>
      </c>
      <c r="I822" s="18">
        <v>2</v>
      </c>
      <c r="J822" s="18">
        <v>2</v>
      </c>
      <c r="K822" s="18">
        <v>6</v>
      </c>
      <c r="T822" s="3">
        <v>13</v>
      </c>
      <c r="U822" s="3">
        <v>13</v>
      </c>
      <c r="V822" s="3">
        <v>2</v>
      </c>
      <c r="X822" s="2" t="s">
        <v>820</v>
      </c>
      <c r="Y822" s="18">
        <v>0</v>
      </c>
      <c r="Z822" s="18">
        <v>0</v>
      </c>
      <c r="AA822" s="18">
        <v>0</v>
      </c>
      <c r="AB822" s="18">
        <v>0</v>
      </c>
      <c r="AC822" s="18">
        <v>2</v>
      </c>
      <c r="AD822" s="18">
        <v>1</v>
      </c>
      <c r="AE822" s="18">
        <v>0</v>
      </c>
      <c r="AN822" s="3">
        <v>3</v>
      </c>
      <c r="AO822" s="3">
        <v>4</v>
      </c>
      <c r="AP822" s="3">
        <v>5</v>
      </c>
      <c r="AR822" s="2" t="s">
        <v>827</v>
      </c>
    </row>
    <row r="823" spans="1:44" ht="12.75" customHeight="1">
      <c r="A823" s="4">
        <f>DATE(64,4,24)</f>
        <v>23491</v>
      </c>
      <c r="C823" s="2" t="s">
        <v>331</v>
      </c>
      <c r="E823" s="18">
        <v>2</v>
      </c>
      <c r="F823" s="18">
        <v>1</v>
      </c>
      <c r="G823" s="18">
        <v>0</v>
      </c>
      <c r="H823" s="18">
        <v>0</v>
      </c>
      <c r="I823" s="18">
        <v>1</v>
      </c>
      <c r="J823" s="18">
        <v>0</v>
      </c>
      <c r="K823" s="18">
        <v>0</v>
      </c>
      <c r="L823" s="18">
        <v>0</v>
      </c>
      <c r="T823" s="3">
        <v>4</v>
      </c>
      <c r="U823" s="3">
        <v>5</v>
      </c>
      <c r="V823" s="3">
        <v>3</v>
      </c>
      <c r="X823" s="2" t="s">
        <v>797</v>
      </c>
      <c r="Y823" s="18">
        <v>0</v>
      </c>
      <c r="Z823" s="18">
        <v>0</v>
      </c>
      <c r="AA823" s="18">
        <v>0</v>
      </c>
      <c r="AB823" s="18">
        <v>1</v>
      </c>
      <c r="AC823" s="18">
        <v>3</v>
      </c>
      <c r="AD823" s="18">
        <v>0</v>
      </c>
      <c r="AE823" s="18">
        <v>0</v>
      </c>
      <c r="AF823" s="18">
        <v>5</v>
      </c>
      <c r="AN823" s="3">
        <v>9</v>
      </c>
      <c r="AO823" s="3">
        <v>11</v>
      </c>
      <c r="AP823" s="3">
        <v>2</v>
      </c>
      <c r="AR823" s="2" t="s">
        <v>831</v>
      </c>
    </row>
    <row r="824" spans="1:44" ht="12.75" customHeight="1">
      <c r="A824" s="4">
        <f>DATE(65,4,14)</f>
        <v>23846</v>
      </c>
      <c r="C824" s="2" t="s">
        <v>331</v>
      </c>
      <c r="E824" s="18">
        <v>0</v>
      </c>
      <c r="F824" s="18">
        <v>0</v>
      </c>
      <c r="G824" s="18">
        <v>0</v>
      </c>
      <c r="H824" s="18">
        <v>1</v>
      </c>
      <c r="I824" s="18">
        <v>0</v>
      </c>
      <c r="J824" s="18">
        <v>1</v>
      </c>
      <c r="K824" s="18">
        <v>0</v>
      </c>
      <c r="L824" s="18">
        <v>0</v>
      </c>
      <c r="M824" s="18">
        <v>0</v>
      </c>
      <c r="N824" s="18">
        <v>1</v>
      </c>
      <c r="T824" s="3">
        <v>3</v>
      </c>
      <c r="U824" s="3">
        <v>7</v>
      </c>
      <c r="V824" s="3">
        <v>2</v>
      </c>
      <c r="X824" s="2" t="s">
        <v>841</v>
      </c>
      <c r="Y824" s="18">
        <v>0</v>
      </c>
      <c r="Z824" s="18">
        <v>0</v>
      </c>
      <c r="AA824" s="18">
        <v>0</v>
      </c>
      <c r="AB824" s="18">
        <v>1</v>
      </c>
      <c r="AC824" s="18">
        <v>1</v>
      </c>
      <c r="AD824" s="18">
        <v>0</v>
      </c>
      <c r="AE824" s="18">
        <v>0</v>
      </c>
      <c r="AF824" s="18">
        <v>0</v>
      </c>
      <c r="AG824" s="18">
        <v>0</v>
      </c>
      <c r="AN824" s="3">
        <v>2</v>
      </c>
      <c r="AO824" s="3">
        <v>9</v>
      </c>
      <c r="AP824" s="3">
        <v>4</v>
      </c>
      <c r="AR824" s="2" t="s">
        <v>842</v>
      </c>
    </row>
    <row r="825" spans="1:44" ht="12.75" customHeight="1">
      <c r="A825" s="4">
        <f>DATE(65,5,20)</f>
        <v>23882</v>
      </c>
      <c r="B825" s="2" t="s">
        <v>152</v>
      </c>
      <c r="C825" s="2" t="s">
        <v>331</v>
      </c>
      <c r="E825" s="18">
        <v>4</v>
      </c>
      <c r="F825" s="18">
        <v>2</v>
      </c>
      <c r="G825" s="18">
        <v>5</v>
      </c>
      <c r="H825" s="18">
        <v>0</v>
      </c>
      <c r="I825" s="18">
        <v>1</v>
      </c>
      <c r="J825" s="18">
        <v>0</v>
      </c>
      <c r="K825" s="18">
        <v>9</v>
      </c>
      <c r="T825" s="3">
        <v>21</v>
      </c>
      <c r="U825" s="3">
        <v>17</v>
      </c>
      <c r="V825" s="3">
        <v>5</v>
      </c>
      <c r="X825" s="2" t="s">
        <v>845</v>
      </c>
      <c r="Y825" s="18">
        <v>3</v>
      </c>
      <c r="Z825" s="18">
        <v>1</v>
      </c>
      <c r="AA825" s="18">
        <v>2</v>
      </c>
      <c r="AB825" s="18">
        <v>0</v>
      </c>
      <c r="AC825" s="18">
        <v>0</v>
      </c>
      <c r="AD825" s="18">
        <v>1</v>
      </c>
      <c r="AE825" s="18">
        <v>0</v>
      </c>
      <c r="AN825" s="3">
        <v>7</v>
      </c>
      <c r="AO825" s="3">
        <v>9</v>
      </c>
      <c r="AP825" s="3">
        <v>1</v>
      </c>
      <c r="AR825" s="2" t="s">
        <v>853</v>
      </c>
    </row>
    <row r="826" spans="1:44" ht="12.75" customHeight="1">
      <c r="A826" s="4">
        <f>DATE(65,5,26)</f>
        <v>23888</v>
      </c>
      <c r="B826" s="2" t="s">
        <v>239</v>
      </c>
      <c r="C826" s="2" t="s">
        <v>331</v>
      </c>
      <c r="D826" s="2" t="s">
        <v>240</v>
      </c>
      <c r="E826" s="18">
        <v>0</v>
      </c>
      <c r="F826" s="18">
        <v>1</v>
      </c>
      <c r="G826" s="18">
        <v>5</v>
      </c>
      <c r="H826" s="18">
        <v>1</v>
      </c>
      <c r="I826" s="18">
        <v>0</v>
      </c>
      <c r="J826" s="18">
        <v>0</v>
      </c>
      <c r="K826" s="18">
        <v>0</v>
      </c>
      <c r="T826" s="3">
        <v>7</v>
      </c>
      <c r="U826" s="3">
        <v>8</v>
      </c>
      <c r="V826" s="3">
        <v>4</v>
      </c>
      <c r="X826" s="2" t="s">
        <v>845</v>
      </c>
      <c r="Y826" s="18">
        <v>0</v>
      </c>
      <c r="Z826" s="18">
        <v>2</v>
      </c>
      <c r="AA826" s="18">
        <v>1</v>
      </c>
      <c r="AB826" s="18">
        <v>0</v>
      </c>
      <c r="AC826" s="18">
        <v>0</v>
      </c>
      <c r="AD826" s="18">
        <v>0</v>
      </c>
      <c r="AE826" s="18">
        <v>0</v>
      </c>
      <c r="AN826" s="3">
        <v>3</v>
      </c>
      <c r="AO826" s="3">
        <v>7</v>
      </c>
      <c r="AP826" s="3">
        <v>1</v>
      </c>
      <c r="AR826" s="2" t="s">
        <v>854</v>
      </c>
    </row>
    <row r="827" spans="1:44" ht="12.75" customHeight="1">
      <c r="A827" s="4">
        <f>DATE(66,4,14)</f>
        <v>24211</v>
      </c>
      <c r="B827" s="2" t="s">
        <v>152</v>
      </c>
      <c r="C827" s="2" t="s">
        <v>331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T827" s="3">
        <v>0</v>
      </c>
      <c r="U827" s="3">
        <v>4</v>
      </c>
      <c r="V827" s="3">
        <v>0</v>
      </c>
      <c r="X827" s="2" t="s">
        <v>856</v>
      </c>
      <c r="Y827" s="18">
        <v>2</v>
      </c>
      <c r="Z827" s="18">
        <v>1</v>
      </c>
      <c r="AA827" s="18">
        <v>0</v>
      </c>
      <c r="AB827" s="18">
        <v>2</v>
      </c>
      <c r="AC827" s="18">
        <v>0</v>
      </c>
      <c r="AD827" s="18">
        <v>1</v>
      </c>
      <c r="AE827" s="18" t="s">
        <v>162</v>
      </c>
      <c r="AN827" s="3">
        <v>6</v>
      </c>
      <c r="AO827" s="3">
        <v>10</v>
      </c>
      <c r="AP827" s="3">
        <v>3</v>
      </c>
      <c r="AR827" s="2" t="s">
        <v>857</v>
      </c>
    </row>
    <row r="828" spans="1:44" ht="12.75" customHeight="1">
      <c r="A828" s="4">
        <f>DATE(66,5,19)</f>
        <v>24246</v>
      </c>
      <c r="C828" s="2" t="s">
        <v>331</v>
      </c>
      <c r="E828" s="18">
        <v>0</v>
      </c>
      <c r="F828" s="18">
        <v>2</v>
      </c>
      <c r="G828" s="18">
        <v>3</v>
      </c>
      <c r="H828" s="18">
        <v>1</v>
      </c>
      <c r="I828" s="18">
        <v>0</v>
      </c>
      <c r="J828" s="18">
        <v>0</v>
      </c>
      <c r="K828" s="18" t="s">
        <v>162</v>
      </c>
      <c r="T828" s="3">
        <v>6</v>
      </c>
      <c r="U828" s="3">
        <v>10</v>
      </c>
      <c r="V828" s="3">
        <v>1</v>
      </c>
      <c r="X828" s="2" t="s">
        <v>846</v>
      </c>
      <c r="Y828" s="18">
        <v>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  <c r="AE828" s="18">
        <v>0</v>
      </c>
      <c r="AN828" s="3">
        <v>0</v>
      </c>
      <c r="AO828" s="3">
        <v>3</v>
      </c>
      <c r="AP828" s="3">
        <v>1</v>
      </c>
      <c r="AR828" s="2" t="s">
        <v>874</v>
      </c>
    </row>
    <row r="829" spans="1:44" ht="12.75" customHeight="1">
      <c r="A829" s="4">
        <f>DATE(67,4,28)</f>
        <v>24590</v>
      </c>
      <c r="C829" s="2" t="s">
        <v>331</v>
      </c>
      <c r="E829" s="18">
        <v>3</v>
      </c>
      <c r="F829" s="18">
        <v>1</v>
      </c>
      <c r="G829" s="18">
        <v>0</v>
      </c>
      <c r="H829" s="18">
        <v>0</v>
      </c>
      <c r="I829" s="18">
        <v>1</v>
      </c>
      <c r="J829" s="18">
        <v>0</v>
      </c>
      <c r="K829" s="18" t="s">
        <v>162</v>
      </c>
      <c r="T829" s="3">
        <v>5</v>
      </c>
      <c r="U829" s="3">
        <v>8</v>
      </c>
      <c r="V829" s="3">
        <v>1</v>
      </c>
      <c r="X829" s="2" t="s">
        <v>879</v>
      </c>
      <c r="Y829" s="18">
        <v>1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  <c r="AE829" s="18">
        <v>0</v>
      </c>
      <c r="AN829" s="3">
        <v>1</v>
      </c>
      <c r="AO829" s="3">
        <v>3</v>
      </c>
      <c r="AP829" s="3">
        <v>3</v>
      </c>
      <c r="AR829" s="2" t="s">
        <v>883</v>
      </c>
    </row>
    <row r="830" spans="1:44" ht="12.75" customHeight="1">
      <c r="A830" s="4">
        <f>DATE(67,5,17)</f>
        <v>24609</v>
      </c>
      <c r="B830" s="2" t="s">
        <v>152</v>
      </c>
      <c r="C830" s="2" t="s">
        <v>331</v>
      </c>
      <c r="E830" s="18">
        <v>1</v>
      </c>
      <c r="F830" s="18">
        <v>3</v>
      </c>
      <c r="G830" s="18">
        <v>0</v>
      </c>
      <c r="H830" s="18">
        <v>2</v>
      </c>
      <c r="I830" s="18">
        <v>1</v>
      </c>
      <c r="J830" s="18">
        <v>0</v>
      </c>
      <c r="K830" s="18">
        <v>2</v>
      </c>
      <c r="T830" s="3">
        <v>9</v>
      </c>
      <c r="U830" s="3">
        <v>13</v>
      </c>
      <c r="V830" s="3">
        <v>3</v>
      </c>
      <c r="X830" s="2" t="s">
        <v>845</v>
      </c>
      <c r="Y830" s="18">
        <v>0</v>
      </c>
      <c r="Z830" s="18">
        <v>0</v>
      </c>
      <c r="AA830" s="18">
        <v>1</v>
      </c>
      <c r="AB830" s="18">
        <v>2</v>
      </c>
      <c r="AC830" s="18">
        <v>0</v>
      </c>
      <c r="AD830" s="18">
        <v>0</v>
      </c>
      <c r="AE830" s="18">
        <v>2</v>
      </c>
      <c r="AN830" s="3">
        <v>5</v>
      </c>
      <c r="AO830" s="3">
        <v>9</v>
      </c>
      <c r="AP830" s="3">
        <v>2</v>
      </c>
      <c r="AR830" s="2" t="s">
        <v>884</v>
      </c>
    </row>
    <row r="831" spans="1:44" ht="12.75" customHeight="1">
      <c r="A831" s="4">
        <f>DATE(68,4,30)</f>
        <v>24958</v>
      </c>
      <c r="B831" s="2" t="s">
        <v>152</v>
      </c>
      <c r="C831" s="2" t="s">
        <v>331</v>
      </c>
      <c r="E831" s="18">
        <v>0</v>
      </c>
      <c r="F831" s="18">
        <v>1</v>
      </c>
      <c r="G831" s="18">
        <v>0</v>
      </c>
      <c r="H831" s="18">
        <v>0</v>
      </c>
      <c r="I831" s="18">
        <v>4</v>
      </c>
      <c r="J831" s="18">
        <v>0</v>
      </c>
      <c r="K831" s="18">
        <v>1</v>
      </c>
      <c r="T831" s="3">
        <v>6</v>
      </c>
      <c r="U831" s="3">
        <v>7</v>
      </c>
      <c r="V831" s="3">
        <v>1</v>
      </c>
      <c r="X831" s="2" t="s">
        <v>893</v>
      </c>
      <c r="Y831" s="18">
        <v>0</v>
      </c>
      <c r="Z831" s="18">
        <v>0</v>
      </c>
      <c r="AA831" s="18">
        <v>0</v>
      </c>
      <c r="AB831" s="18">
        <v>0</v>
      </c>
      <c r="AC831" s="18">
        <v>1</v>
      </c>
      <c r="AD831" s="18">
        <v>0</v>
      </c>
      <c r="AE831" s="18">
        <v>0</v>
      </c>
      <c r="AN831" s="3">
        <v>1</v>
      </c>
      <c r="AO831" s="3">
        <v>5</v>
      </c>
      <c r="AP831" s="3">
        <v>3</v>
      </c>
      <c r="AR831" s="2" t="s">
        <v>897</v>
      </c>
    </row>
    <row r="832" spans="1:44" ht="12.75" customHeight="1">
      <c r="A832" s="4">
        <f>DATE(68,5,7)</f>
        <v>24965</v>
      </c>
      <c r="C832" s="2" t="s">
        <v>331</v>
      </c>
      <c r="E832" s="18">
        <v>0</v>
      </c>
      <c r="F832" s="18">
        <v>0</v>
      </c>
      <c r="G832" s="18">
        <v>0</v>
      </c>
      <c r="H832" s="18">
        <v>2</v>
      </c>
      <c r="I832" s="18">
        <v>0</v>
      </c>
      <c r="J832" s="18">
        <v>0</v>
      </c>
      <c r="K832" s="18">
        <v>3</v>
      </c>
      <c r="L832" s="18">
        <v>0</v>
      </c>
      <c r="M832" s="18">
        <v>0</v>
      </c>
      <c r="N832" s="18">
        <v>1</v>
      </c>
      <c r="T832" s="3">
        <v>6</v>
      </c>
      <c r="U832" s="3">
        <v>13</v>
      </c>
      <c r="V832" s="3">
        <v>5</v>
      </c>
      <c r="X832" s="2" t="s">
        <v>900</v>
      </c>
      <c r="Y832" s="18">
        <v>0</v>
      </c>
      <c r="Z832" s="18">
        <v>0</v>
      </c>
      <c r="AA832" s="18">
        <v>0</v>
      </c>
      <c r="AB832" s="18">
        <v>0</v>
      </c>
      <c r="AC832" s="18">
        <v>5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N832" s="3">
        <v>5</v>
      </c>
      <c r="AO832" s="3">
        <v>7</v>
      </c>
      <c r="AP832" s="3">
        <v>2</v>
      </c>
      <c r="AR832" s="2" t="s">
        <v>901</v>
      </c>
    </row>
    <row r="833" spans="1:44" ht="12.75" customHeight="1">
      <c r="A833" s="4">
        <f>DATE(69,5,6)</f>
        <v>25329</v>
      </c>
      <c r="C833" s="2" t="s">
        <v>331</v>
      </c>
      <c r="E833" s="18">
        <v>0</v>
      </c>
      <c r="F833" s="18">
        <v>2</v>
      </c>
      <c r="G833" s="18">
        <v>0</v>
      </c>
      <c r="H833" s="18">
        <v>1</v>
      </c>
      <c r="I833" s="18">
        <v>2</v>
      </c>
      <c r="J833" s="18">
        <v>0</v>
      </c>
      <c r="K833" s="18">
        <v>0</v>
      </c>
      <c r="T833" s="3">
        <v>5</v>
      </c>
      <c r="U833" s="3">
        <v>7</v>
      </c>
      <c r="V833" s="3">
        <v>1</v>
      </c>
      <c r="X833" s="2" t="s">
        <v>893</v>
      </c>
      <c r="Y833" s="18">
        <v>0</v>
      </c>
      <c r="Z833" s="18">
        <v>0</v>
      </c>
      <c r="AA833" s="18">
        <v>0</v>
      </c>
      <c r="AB833" s="18">
        <v>0</v>
      </c>
      <c r="AC833" s="18">
        <v>2</v>
      </c>
      <c r="AD833" s="18">
        <v>0</v>
      </c>
      <c r="AE833" s="18">
        <v>0</v>
      </c>
      <c r="AN833" s="3">
        <v>2</v>
      </c>
      <c r="AO833" s="3">
        <v>4</v>
      </c>
      <c r="AP833" s="3">
        <v>0</v>
      </c>
      <c r="AR833" s="2" t="s">
        <v>897</v>
      </c>
    </row>
    <row r="834" spans="1:44" ht="12.75" customHeight="1">
      <c r="A834" s="4">
        <f>DATE(69,5,21)</f>
        <v>25344</v>
      </c>
      <c r="B834" s="2" t="s">
        <v>152</v>
      </c>
      <c r="C834" s="2" t="s">
        <v>331</v>
      </c>
      <c r="E834" s="18">
        <v>3</v>
      </c>
      <c r="F834" s="18">
        <v>0</v>
      </c>
      <c r="G834" s="18">
        <v>0</v>
      </c>
      <c r="H834" s="18">
        <v>2</v>
      </c>
      <c r="I834" s="18">
        <v>0</v>
      </c>
      <c r="J834" s="18">
        <v>1</v>
      </c>
      <c r="K834" s="18">
        <v>0</v>
      </c>
      <c r="T834" s="3">
        <v>6</v>
      </c>
      <c r="U834" s="3">
        <v>5</v>
      </c>
      <c r="V834" s="3">
        <v>0</v>
      </c>
      <c r="X834" s="2" t="s">
        <v>893</v>
      </c>
      <c r="Y834" s="18">
        <v>0</v>
      </c>
      <c r="Z834" s="18">
        <v>0</v>
      </c>
      <c r="AA834" s="18">
        <v>2</v>
      </c>
      <c r="AB834" s="18">
        <v>0</v>
      </c>
      <c r="AC834" s="18">
        <v>0</v>
      </c>
      <c r="AD834" s="18">
        <v>0</v>
      </c>
      <c r="AE834" s="18">
        <v>0</v>
      </c>
      <c r="AN834" s="3">
        <v>2</v>
      </c>
      <c r="AO834" s="3">
        <v>4</v>
      </c>
      <c r="AP834" s="3">
        <v>3</v>
      </c>
      <c r="AR834" s="2" t="s">
        <v>897</v>
      </c>
    </row>
    <row r="835" spans="1:44" ht="12.75" customHeight="1">
      <c r="A835" s="4">
        <f>DATE(70,4,21)</f>
        <v>25679</v>
      </c>
      <c r="C835" s="2" t="s">
        <v>331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1</v>
      </c>
      <c r="K835" s="18">
        <v>0</v>
      </c>
      <c r="T835" s="3">
        <v>1</v>
      </c>
      <c r="U835" s="3">
        <v>1</v>
      </c>
      <c r="V835" s="3">
        <v>1</v>
      </c>
      <c r="X835" s="2" t="s">
        <v>902</v>
      </c>
      <c r="Y835" s="18">
        <v>1</v>
      </c>
      <c r="Z835" s="18">
        <v>0</v>
      </c>
      <c r="AA835" s="18">
        <v>0</v>
      </c>
      <c r="AB835" s="18">
        <v>0</v>
      </c>
      <c r="AC835" s="18">
        <v>1</v>
      </c>
      <c r="AD835" s="18">
        <v>0</v>
      </c>
      <c r="AE835" s="18">
        <v>0</v>
      </c>
      <c r="AN835" s="3">
        <v>2</v>
      </c>
      <c r="AO835" s="3">
        <v>3</v>
      </c>
      <c r="AP835" s="3">
        <v>0</v>
      </c>
      <c r="AR835" s="2" t="s">
        <v>897</v>
      </c>
    </row>
    <row r="836" spans="1:44" ht="12.75" customHeight="1">
      <c r="A836" s="4">
        <f>DATE(70,5,21)</f>
        <v>25709</v>
      </c>
      <c r="B836" s="2" t="s">
        <v>152</v>
      </c>
      <c r="C836" s="2" t="s">
        <v>331</v>
      </c>
      <c r="E836" s="18">
        <v>0</v>
      </c>
      <c r="F836" s="18">
        <v>0</v>
      </c>
      <c r="G836" s="18">
        <v>0</v>
      </c>
      <c r="H836" s="18">
        <v>0</v>
      </c>
      <c r="I836" s="18">
        <v>1</v>
      </c>
      <c r="J836" s="18">
        <v>0</v>
      </c>
      <c r="K836" s="18">
        <v>0</v>
      </c>
      <c r="T836" s="3">
        <v>1</v>
      </c>
      <c r="U836" s="3">
        <v>4</v>
      </c>
      <c r="V836" s="3">
        <v>1</v>
      </c>
      <c r="X836" s="2" t="s">
        <v>902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N836" s="3">
        <v>0</v>
      </c>
      <c r="AO836" s="3">
        <v>1</v>
      </c>
      <c r="AP836" s="3">
        <v>1</v>
      </c>
      <c r="AR836" s="2" t="s">
        <v>897</v>
      </c>
    </row>
    <row r="837" spans="1:44" ht="12.75" customHeight="1">
      <c r="A837" s="4">
        <f>DATE(70,5,25)</f>
        <v>25713</v>
      </c>
      <c r="B837" s="2" t="s">
        <v>152</v>
      </c>
      <c r="C837" s="2" t="s">
        <v>331</v>
      </c>
      <c r="D837" s="2" t="s">
        <v>240</v>
      </c>
      <c r="E837" s="18">
        <v>0</v>
      </c>
      <c r="F837" s="18">
        <v>0</v>
      </c>
      <c r="G837" s="18">
        <v>1</v>
      </c>
      <c r="H837" s="18">
        <v>0</v>
      </c>
      <c r="I837" s="18">
        <v>0</v>
      </c>
      <c r="J837" s="18">
        <v>1</v>
      </c>
      <c r="T837" s="3">
        <v>2</v>
      </c>
      <c r="U837" s="3">
        <v>8</v>
      </c>
      <c r="V837" s="3">
        <v>1</v>
      </c>
      <c r="X837" s="2" t="s">
        <v>921</v>
      </c>
      <c r="Y837" s="18">
        <v>0</v>
      </c>
      <c r="Z837" s="18">
        <v>0</v>
      </c>
      <c r="AA837" s="18">
        <v>0</v>
      </c>
      <c r="AB837" s="18">
        <v>2</v>
      </c>
      <c r="AC837" s="18">
        <v>0</v>
      </c>
      <c r="AD837" s="18">
        <v>0</v>
      </c>
      <c r="AN837" s="3">
        <v>2</v>
      </c>
      <c r="AO837" s="3">
        <v>5</v>
      </c>
      <c r="AP837" s="3">
        <v>2</v>
      </c>
      <c r="AR837" s="2" t="s">
        <v>929</v>
      </c>
    </row>
    <row r="838" spans="1:44" ht="12.75" customHeight="1">
      <c r="A838" s="4">
        <f>DATE(70,5,27)</f>
        <v>25715</v>
      </c>
      <c r="B838" s="2" t="s">
        <v>152</v>
      </c>
      <c r="C838" s="2" t="s">
        <v>331</v>
      </c>
      <c r="D838" s="2" t="s">
        <v>240</v>
      </c>
      <c r="E838" s="18">
        <v>0</v>
      </c>
      <c r="F838" s="18">
        <v>1</v>
      </c>
      <c r="G838" s="18">
        <v>0</v>
      </c>
      <c r="H838" s="18">
        <v>2</v>
      </c>
      <c r="I838" s="18">
        <v>0</v>
      </c>
      <c r="J838" s="18">
        <v>0</v>
      </c>
      <c r="K838" s="18">
        <v>0</v>
      </c>
      <c r="T838" s="3">
        <v>3</v>
      </c>
      <c r="U838" s="3">
        <v>6</v>
      </c>
      <c r="V838" s="3">
        <v>2</v>
      </c>
      <c r="X838" s="2" t="s">
        <v>924</v>
      </c>
      <c r="Y838" s="18">
        <v>0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  <c r="AE838" s="18">
        <v>0</v>
      </c>
      <c r="AN838" s="3">
        <v>0</v>
      </c>
      <c r="AO838" s="3">
        <v>3</v>
      </c>
      <c r="AP838" s="3">
        <v>4</v>
      </c>
      <c r="AR838" s="2" t="s">
        <v>930</v>
      </c>
    </row>
    <row r="839" spans="1:44" ht="12.75" customHeight="1">
      <c r="A839" s="4">
        <f>DATE(71,4,20)</f>
        <v>26043</v>
      </c>
      <c r="B839" s="2" t="s">
        <v>152</v>
      </c>
      <c r="C839" s="2" t="s">
        <v>331</v>
      </c>
      <c r="E839" s="18">
        <v>0</v>
      </c>
      <c r="F839" s="18">
        <v>0</v>
      </c>
      <c r="G839" s="18">
        <v>1</v>
      </c>
      <c r="H839" s="18">
        <v>6</v>
      </c>
      <c r="I839" s="18">
        <v>0</v>
      </c>
      <c r="J839" s="18">
        <v>1</v>
      </c>
      <c r="K839" s="18">
        <v>2</v>
      </c>
      <c r="T839" s="3">
        <v>10</v>
      </c>
      <c r="U839" s="3">
        <v>12</v>
      </c>
      <c r="V839" s="3">
        <v>2</v>
      </c>
      <c r="X839" s="2" t="s">
        <v>941</v>
      </c>
      <c r="Y839" s="18">
        <v>0</v>
      </c>
      <c r="Z839" s="18">
        <v>0</v>
      </c>
      <c r="AA839" s="18">
        <v>0</v>
      </c>
      <c r="AB839" s="18">
        <v>1</v>
      </c>
      <c r="AC839" s="18">
        <v>1</v>
      </c>
      <c r="AD839" s="18">
        <v>0</v>
      </c>
      <c r="AE839" s="18">
        <v>1</v>
      </c>
      <c r="AN839" s="3">
        <v>3</v>
      </c>
      <c r="AO839" s="3">
        <v>8</v>
      </c>
      <c r="AP839" s="3">
        <v>4</v>
      </c>
      <c r="AR839" s="2" t="s">
        <v>942</v>
      </c>
    </row>
    <row r="840" spans="1:44" ht="12.75" customHeight="1">
      <c r="A840" s="4">
        <f>DATE(71,5,20)</f>
        <v>26073</v>
      </c>
      <c r="C840" s="2" t="s">
        <v>331</v>
      </c>
      <c r="E840" s="18">
        <v>2</v>
      </c>
      <c r="F840" s="18">
        <v>0</v>
      </c>
      <c r="G840" s="18">
        <v>0</v>
      </c>
      <c r="H840" s="18">
        <v>0</v>
      </c>
      <c r="I840" s="18">
        <v>0</v>
      </c>
      <c r="J840" s="18">
        <v>1</v>
      </c>
      <c r="K840" s="18" t="s">
        <v>162</v>
      </c>
      <c r="T840" s="3">
        <v>3</v>
      </c>
      <c r="U840" s="3">
        <v>5</v>
      </c>
      <c r="V840" s="3">
        <v>3</v>
      </c>
      <c r="X840" s="2" t="s">
        <v>949</v>
      </c>
      <c r="Y840" s="18">
        <v>0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  <c r="AE840" s="18">
        <v>0</v>
      </c>
      <c r="AN840" s="3">
        <v>0</v>
      </c>
      <c r="AO840" s="3">
        <v>1</v>
      </c>
      <c r="AP840" s="3">
        <v>1</v>
      </c>
      <c r="AR840" s="2" t="s">
        <v>959</v>
      </c>
    </row>
    <row r="841" spans="1:44" ht="12.75" customHeight="1">
      <c r="A841" s="4">
        <f>DATE(76,4,19)</f>
        <v>27869</v>
      </c>
      <c r="B841" s="2" t="s">
        <v>152</v>
      </c>
      <c r="C841" s="2" t="s">
        <v>331</v>
      </c>
      <c r="E841" s="18">
        <v>2</v>
      </c>
      <c r="F841" s="18">
        <v>1</v>
      </c>
      <c r="G841" s="18">
        <v>2</v>
      </c>
      <c r="H841" s="18">
        <v>1</v>
      </c>
      <c r="I841" s="18">
        <v>0</v>
      </c>
      <c r="J841" s="18">
        <v>0</v>
      </c>
      <c r="K841" s="18">
        <v>1</v>
      </c>
      <c r="T841" s="3">
        <v>7</v>
      </c>
      <c r="U841" s="3">
        <v>8</v>
      </c>
      <c r="V841" s="3">
        <v>2</v>
      </c>
      <c r="X841" s="2" t="s">
        <v>1075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3</v>
      </c>
      <c r="AE841" s="18">
        <v>0</v>
      </c>
      <c r="AN841" s="3">
        <v>3</v>
      </c>
      <c r="AO841" s="3">
        <v>4</v>
      </c>
      <c r="AP841" s="3">
        <v>5</v>
      </c>
      <c r="AR841" s="2" t="s">
        <v>1076</v>
      </c>
    </row>
    <row r="842" spans="1:44" ht="12.75" customHeight="1">
      <c r="A842" s="4">
        <f>DATE(76,5,7)</f>
        <v>27887</v>
      </c>
      <c r="C842" s="2" t="s">
        <v>331</v>
      </c>
      <c r="E842" s="18">
        <v>0</v>
      </c>
      <c r="F842" s="18">
        <v>0</v>
      </c>
      <c r="G842" s="18">
        <v>0</v>
      </c>
      <c r="H842" s="18">
        <v>5</v>
      </c>
      <c r="I842" s="18">
        <v>0</v>
      </c>
      <c r="J842" s="18">
        <v>0</v>
      </c>
      <c r="K842" s="18" t="s">
        <v>162</v>
      </c>
      <c r="T842" s="3">
        <v>5</v>
      </c>
      <c r="U842" s="3">
        <v>6</v>
      </c>
      <c r="V842" s="3">
        <v>3</v>
      </c>
      <c r="X842" s="2" t="s">
        <v>1090</v>
      </c>
      <c r="Y842" s="18">
        <v>0</v>
      </c>
      <c r="Z842" s="18">
        <v>0</v>
      </c>
      <c r="AA842" s="18">
        <v>0</v>
      </c>
      <c r="AB842" s="18">
        <v>0</v>
      </c>
      <c r="AC842" s="18">
        <v>1</v>
      </c>
      <c r="AD842" s="18">
        <v>0</v>
      </c>
      <c r="AE842" s="18">
        <v>1</v>
      </c>
      <c r="AN842" s="3">
        <v>2</v>
      </c>
      <c r="AO842" s="3">
        <v>2</v>
      </c>
      <c r="AP842" s="3">
        <v>3</v>
      </c>
      <c r="AR842" s="2" t="s">
        <v>1091</v>
      </c>
    </row>
    <row r="843" spans="1:44" ht="12.75" customHeight="1">
      <c r="A843" s="4">
        <f>DATE(77,4,15)</f>
        <v>28230</v>
      </c>
      <c r="C843" s="2" t="s">
        <v>331</v>
      </c>
      <c r="E843" s="18">
        <v>1</v>
      </c>
      <c r="F843" s="18">
        <v>0</v>
      </c>
      <c r="G843" s="18">
        <v>1</v>
      </c>
      <c r="H843" s="18">
        <v>0</v>
      </c>
      <c r="I843" s="18">
        <v>0</v>
      </c>
      <c r="J843" s="18">
        <v>0</v>
      </c>
      <c r="K843" s="18">
        <v>0</v>
      </c>
      <c r="L843" s="18">
        <v>1</v>
      </c>
      <c r="T843" s="3">
        <v>3</v>
      </c>
      <c r="U843" s="3">
        <v>7</v>
      </c>
      <c r="V843" s="3">
        <v>2</v>
      </c>
      <c r="X843" s="2" t="s">
        <v>1104</v>
      </c>
      <c r="Y843" s="18">
        <v>0</v>
      </c>
      <c r="Z843" s="18">
        <v>0</v>
      </c>
      <c r="AA843" s="18">
        <v>2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N843" s="3">
        <v>2</v>
      </c>
      <c r="AO843" s="3">
        <v>4</v>
      </c>
      <c r="AP843" s="3">
        <v>3</v>
      </c>
      <c r="AR843" s="2" t="s">
        <v>1105</v>
      </c>
    </row>
    <row r="844" spans="1:44" ht="12.75" customHeight="1">
      <c r="A844" s="4">
        <f>DATE(77,5,13)</f>
        <v>28258</v>
      </c>
      <c r="B844" s="2" t="s">
        <v>152</v>
      </c>
      <c r="C844" s="2" t="s">
        <v>331</v>
      </c>
      <c r="E844" s="18">
        <v>0</v>
      </c>
      <c r="F844" s="18">
        <v>0</v>
      </c>
      <c r="G844" s="18">
        <v>1</v>
      </c>
      <c r="H844" s="18">
        <v>1</v>
      </c>
      <c r="I844" s="18">
        <v>1</v>
      </c>
      <c r="J844" s="18">
        <v>0</v>
      </c>
      <c r="K844" s="18">
        <v>0</v>
      </c>
      <c r="T844" s="3">
        <v>3</v>
      </c>
      <c r="U844" s="3">
        <v>8</v>
      </c>
      <c r="V844" s="3">
        <v>1</v>
      </c>
      <c r="X844" s="2" t="s">
        <v>1070</v>
      </c>
      <c r="Y844" s="18">
        <v>1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N844" s="3">
        <v>1</v>
      </c>
      <c r="AO844" s="3">
        <v>3</v>
      </c>
      <c r="AP844" s="3">
        <v>2</v>
      </c>
      <c r="AR844" s="2" t="s">
        <v>1105</v>
      </c>
    </row>
    <row r="845" spans="1:44" ht="12.75" customHeight="1">
      <c r="A845" s="4">
        <f>DATE(84,3,31)</f>
        <v>30772</v>
      </c>
      <c r="B845" s="2" t="s">
        <v>152</v>
      </c>
      <c r="C845" s="2" t="s">
        <v>389</v>
      </c>
      <c r="E845" s="18">
        <v>0</v>
      </c>
      <c r="F845" s="18">
        <v>4</v>
      </c>
      <c r="G845" s="18">
        <v>4</v>
      </c>
      <c r="H845" s="18">
        <v>0</v>
      </c>
      <c r="I845" s="18">
        <v>0</v>
      </c>
      <c r="J845" s="18">
        <v>4</v>
      </c>
      <c r="K845" s="18">
        <v>2</v>
      </c>
      <c r="T845" s="3">
        <v>14</v>
      </c>
      <c r="U845" s="3">
        <v>12</v>
      </c>
      <c r="V845" s="3">
        <v>3</v>
      </c>
      <c r="X845" s="2" t="s">
        <v>1450</v>
      </c>
      <c r="Y845" s="18">
        <v>3</v>
      </c>
      <c r="Z845" s="18">
        <v>1</v>
      </c>
      <c r="AA845" s="18">
        <v>0</v>
      </c>
      <c r="AB845" s="18">
        <v>0</v>
      </c>
      <c r="AC845" s="18">
        <v>0</v>
      </c>
      <c r="AD845" s="18">
        <v>1</v>
      </c>
      <c r="AE845" s="18">
        <v>0</v>
      </c>
      <c r="AN845" s="3">
        <v>5</v>
      </c>
      <c r="AO845" s="3">
        <v>4</v>
      </c>
      <c r="AP845" s="3">
        <v>5</v>
      </c>
      <c r="AR845" s="2" t="s">
        <v>316</v>
      </c>
    </row>
    <row r="846" spans="1:44" ht="12.75" customHeight="1">
      <c r="A846" s="4">
        <f>DATE(53,4,22)</f>
        <v>19471</v>
      </c>
      <c r="C846" s="2" t="s">
        <v>368</v>
      </c>
      <c r="E846" s="18">
        <v>0</v>
      </c>
      <c r="F846" s="18">
        <v>0</v>
      </c>
      <c r="G846" s="18">
        <v>0</v>
      </c>
      <c r="H846" s="18">
        <v>0</v>
      </c>
      <c r="I846" s="18">
        <v>4</v>
      </c>
      <c r="J846" s="18">
        <v>0</v>
      </c>
      <c r="K846" s="18">
        <v>0</v>
      </c>
      <c r="T846" s="3">
        <f>SUM(E846:M846)</f>
        <v>4</v>
      </c>
      <c r="U846" s="3">
        <v>7</v>
      </c>
      <c r="V846" s="3">
        <v>2</v>
      </c>
      <c r="X846" s="2" t="s">
        <v>1942</v>
      </c>
      <c r="Y846" s="18">
        <v>1</v>
      </c>
      <c r="Z846" s="18">
        <v>0</v>
      </c>
      <c r="AA846" s="18">
        <v>0</v>
      </c>
      <c r="AB846" s="18">
        <v>0</v>
      </c>
      <c r="AC846" s="18">
        <v>1</v>
      </c>
      <c r="AD846" s="18">
        <v>2</v>
      </c>
      <c r="AE846" s="18">
        <v>2</v>
      </c>
      <c r="AN846" s="3">
        <v>6</v>
      </c>
      <c r="AO846" s="3">
        <v>7</v>
      </c>
      <c r="AP846" s="3">
        <v>2</v>
      </c>
      <c r="AR846" s="2" t="s">
        <v>203</v>
      </c>
    </row>
    <row r="847" spans="1:44" ht="12.75" customHeight="1">
      <c r="A847" s="4">
        <f>DATE(53,5,21)</f>
        <v>19500</v>
      </c>
      <c r="B847" s="2" t="s">
        <v>152</v>
      </c>
      <c r="C847" s="2" t="s">
        <v>368</v>
      </c>
      <c r="E847" s="18">
        <v>3</v>
      </c>
      <c r="F847" s="18">
        <v>1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1</v>
      </c>
      <c r="T847" s="3">
        <f>SUM(E847:M847)</f>
        <v>5</v>
      </c>
      <c r="U847" s="3">
        <v>11</v>
      </c>
      <c r="V847" s="3">
        <v>2</v>
      </c>
      <c r="X847" s="2" t="s">
        <v>1942</v>
      </c>
      <c r="Y847" s="18">
        <v>0</v>
      </c>
      <c r="Z847" s="18">
        <v>2</v>
      </c>
      <c r="AA847" s="18">
        <v>0</v>
      </c>
      <c r="AB847" s="18">
        <v>0</v>
      </c>
      <c r="AC847" s="18">
        <v>1</v>
      </c>
      <c r="AD847" s="18">
        <v>1</v>
      </c>
      <c r="AE847" s="18">
        <v>0</v>
      </c>
      <c r="AF847" s="18">
        <v>0</v>
      </c>
      <c r="AN847" s="3">
        <v>4</v>
      </c>
      <c r="AO847" s="3">
        <v>12</v>
      </c>
      <c r="AP847" s="3">
        <v>3</v>
      </c>
      <c r="AR847" s="2" t="s">
        <v>656</v>
      </c>
    </row>
    <row r="848" spans="1:44" ht="12.75" customHeight="1">
      <c r="A848" s="4">
        <f>DATE(54,5,26)</f>
        <v>19870</v>
      </c>
      <c r="C848" s="2" t="s">
        <v>368</v>
      </c>
      <c r="E848" s="18">
        <v>0</v>
      </c>
      <c r="F848" s="18">
        <v>0</v>
      </c>
      <c r="G848" s="18">
        <v>0</v>
      </c>
      <c r="H848" s="18">
        <v>0</v>
      </c>
      <c r="I848" s="18">
        <v>2</v>
      </c>
      <c r="J848" s="18">
        <v>6</v>
      </c>
      <c r="K848" s="18" t="s">
        <v>162</v>
      </c>
      <c r="T848" s="3">
        <v>8</v>
      </c>
      <c r="U848" s="3">
        <v>9</v>
      </c>
      <c r="V848" s="3">
        <v>4</v>
      </c>
      <c r="X848" s="2" t="s">
        <v>661</v>
      </c>
      <c r="Y848" s="18">
        <v>0</v>
      </c>
      <c r="Z848" s="18">
        <v>1</v>
      </c>
      <c r="AA848" s="18">
        <v>0</v>
      </c>
      <c r="AB848" s="18">
        <v>0</v>
      </c>
      <c r="AC848" s="18">
        <v>0</v>
      </c>
      <c r="AD848" s="18">
        <v>0</v>
      </c>
      <c r="AE848" s="18">
        <v>0</v>
      </c>
      <c r="AN848" s="3">
        <v>1</v>
      </c>
      <c r="AO848" s="3">
        <v>1</v>
      </c>
      <c r="AP848" s="3">
        <v>5</v>
      </c>
      <c r="AR848" s="2" t="s">
        <v>10</v>
      </c>
    </row>
    <row r="849" spans="1:44" ht="12.75" customHeight="1">
      <c r="A849" s="4">
        <f>DATE(54,5,26)</f>
        <v>19870</v>
      </c>
      <c r="C849" s="2" t="s">
        <v>368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T849" s="3">
        <v>0</v>
      </c>
      <c r="U849" s="3">
        <v>2</v>
      </c>
      <c r="V849" s="3">
        <v>2</v>
      </c>
      <c r="X849" s="2" t="s">
        <v>663</v>
      </c>
      <c r="Y849" s="18">
        <v>0</v>
      </c>
      <c r="Z849" s="18">
        <v>0</v>
      </c>
      <c r="AA849" s="18">
        <v>0</v>
      </c>
      <c r="AB849" s="18">
        <v>0</v>
      </c>
      <c r="AC849" s="18">
        <v>1</v>
      </c>
      <c r="AN849" s="3">
        <v>1</v>
      </c>
      <c r="AO849" s="3">
        <v>3</v>
      </c>
      <c r="AP849" s="3">
        <v>0</v>
      </c>
      <c r="AR849" s="2" t="s">
        <v>11</v>
      </c>
    </row>
    <row r="850" spans="1:44" ht="12.75" customHeight="1">
      <c r="A850" s="4">
        <f>DATE(56,5,18)</f>
        <v>20593</v>
      </c>
      <c r="C850" s="2" t="s">
        <v>368</v>
      </c>
      <c r="E850" s="18">
        <v>1</v>
      </c>
      <c r="F850" s="18">
        <v>0</v>
      </c>
      <c r="G850" s="18">
        <v>0</v>
      </c>
      <c r="H850" s="18">
        <v>0</v>
      </c>
      <c r="I850" s="18">
        <v>1</v>
      </c>
      <c r="J850" s="18">
        <v>0</v>
      </c>
      <c r="K850" s="18">
        <v>0</v>
      </c>
      <c r="T850" s="3">
        <v>2</v>
      </c>
      <c r="U850" s="3">
        <v>3</v>
      </c>
      <c r="V850" s="3">
        <v>0</v>
      </c>
      <c r="X850" s="2" t="s">
        <v>674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  <c r="AE850" s="18">
        <v>0</v>
      </c>
      <c r="AN850" s="3">
        <v>0</v>
      </c>
      <c r="AO850" s="3">
        <v>2</v>
      </c>
      <c r="AP850" s="3">
        <v>2</v>
      </c>
      <c r="AR850" s="2" t="s">
        <v>225</v>
      </c>
    </row>
    <row r="851" spans="1:44" ht="12.75" customHeight="1">
      <c r="A851" s="4">
        <f>DATE(56,5,18)</f>
        <v>20593</v>
      </c>
      <c r="C851" s="2" t="s">
        <v>368</v>
      </c>
      <c r="E851" s="18">
        <v>0</v>
      </c>
      <c r="F851" s="18">
        <v>0</v>
      </c>
      <c r="G851" s="18">
        <v>0</v>
      </c>
      <c r="H851" s="18">
        <v>0</v>
      </c>
      <c r="I851" s="18">
        <v>1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T851" s="3">
        <v>1</v>
      </c>
      <c r="U851" s="3">
        <v>7</v>
      </c>
      <c r="V851" s="3">
        <v>3</v>
      </c>
      <c r="X851" s="2" t="s">
        <v>687</v>
      </c>
      <c r="Y851" s="18">
        <v>0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  <c r="AE851" s="18">
        <v>1</v>
      </c>
      <c r="AF851" s="18">
        <v>0</v>
      </c>
      <c r="AG851" s="18">
        <v>0</v>
      </c>
      <c r="AH851" s="18">
        <v>1</v>
      </c>
      <c r="AN851" s="3">
        <v>2</v>
      </c>
      <c r="AO851" s="3">
        <v>3</v>
      </c>
      <c r="AP851" s="3">
        <v>1</v>
      </c>
      <c r="AR851" s="2" t="s">
        <v>688</v>
      </c>
    </row>
    <row r="852" spans="1:44" ht="12.75" customHeight="1">
      <c r="A852" s="4">
        <f>DATE(80,4,2)</f>
        <v>29313</v>
      </c>
      <c r="B852" s="2" t="s">
        <v>152</v>
      </c>
      <c r="C852" s="2" t="s">
        <v>623</v>
      </c>
      <c r="E852" s="18">
        <v>0</v>
      </c>
      <c r="F852" s="18">
        <v>0</v>
      </c>
      <c r="G852" s="18">
        <v>0</v>
      </c>
      <c r="H852" s="18">
        <v>1</v>
      </c>
      <c r="I852" s="18">
        <v>2</v>
      </c>
      <c r="J852" s="18">
        <v>0</v>
      </c>
      <c r="K852" s="18">
        <v>5</v>
      </c>
      <c r="T852" s="3">
        <v>8</v>
      </c>
      <c r="U852" s="3">
        <v>8</v>
      </c>
      <c r="V852" s="3">
        <v>1</v>
      </c>
      <c r="X852" s="2" t="s">
        <v>1239</v>
      </c>
      <c r="Y852" s="18">
        <v>3</v>
      </c>
      <c r="Z852" s="18">
        <v>0</v>
      </c>
      <c r="AA852" s="18">
        <v>1</v>
      </c>
      <c r="AB852" s="18">
        <v>0</v>
      </c>
      <c r="AC852" s="18">
        <v>0</v>
      </c>
      <c r="AD852" s="18">
        <v>3</v>
      </c>
      <c r="AE852" s="18">
        <v>0</v>
      </c>
      <c r="AN852" s="3">
        <v>7</v>
      </c>
      <c r="AO852" s="3">
        <v>9</v>
      </c>
      <c r="AP852" s="3">
        <v>1</v>
      </c>
      <c r="AR852" s="2" t="s">
        <v>284</v>
      </c>
    </row>
    <row r="853" spans="1:44" ht="12.75" customHeight="1">
      <c r="A853" s="8">
        <v>37337</v>
      </c>
      <c r="B853" s="2" t="s">
        <v>152</v>
      </c>
      <c r="C853" s="2" t="s">
        <v>932</v>
      </c>
      <c r="E853" s="18">
        <v>8</v>
      </c>
      <c r="F853" s="18">
        <v>5</v>
      </c>
      <c r="G853" s="18">
        <v>10</v>
      </c>
      <c r="H853" s="18">
        <v>1</v>
      </c>
      <c r="I853" s="18">
        <v>0</v>
      </c>
      <c r="T853" s="3">
        <f>SUM(E853:S853)</f>
        <v>24</v>
      </c>
      <c r="U853" s="3">
        <v>13</v>
      </c>
      <c r="V853" s="3">
        <v>0</v>
      </c>
      <c r="X853" s="2" t="s">
        <v>1920</v>
      </c>
      <c r="Y853" s="18">
        <v>0</v>
      </c>
      <c r="Z853" s="18">
        <v>0</v>
      </c>
      <c r="AA853" s="18">
        <v>0</v>
      </c>
      <c r="AB853" s="18">
        <v>0</v>
      </c>
      <c r="AC853" s="18">
        <v>0</v>
      </c>
      <c r="AN853" s="3">
        <f>SUM(Y853:AM853)</f>
        <v>0</v>
      </c>
      <c r="AO853" s="3">
        <v>0</v>
      </c>
      <c r="AP853" s="3">
        <v>0</v>
      </c>
      <c r="AR853" s="2" t="s">
        <v>1428</v>
      </c>
    </row>
    <row r="854" spans="1:44" ht="12.75" customHeight="1">
      <c r="A854" s="8">
        <v>38800</v>
      </c>
      <c r="B854" s="2" t="s">
        <v>152</v>
      </c>
      <c r="C854" s="2" t="s">
        <v>932</v>
      </c>
      <c r="E854" s="18">
        <v>3</v>
      </c>
      <c r="F854" s="18">
        <v>5</v>
      </c>
      <c r="G854" s="18">
        <v>0</v>
      </c>
      <c r="H854" s="18">
        <v>0</v>
      </c>
      <c r="I854" s="18">
        <v>2</v>
      </c>
      <c r="J854" s="18">
        <v>2</v>
      </c>
      <c r="K854" s="18">
        <v>0</v>
      </c>
      <c r="T854" s="3">
        <f>SUM(E854:S854)</f>
        <v>12</v>
      </c>
      <c r="U854" s="3">
        <v>15</v>
      </c>
      <c r="V854" s="3">
        <v>2</v>
      </c>
      <c r="X854" s="2" t="s">
        <v>463</v>
      </c>
      <c r="Y854" s="18">
        <v>0</v>
      </c>
      <c r="Z854" s="18">
        <v>0</v>
      </c>
      <c r="AA854" s="18">
        <v>0</v>
      </c>
      <c r="AB854" s="18">
        <v>4</v>
      </c>
      <c r="AC854" s="18">
        <v>0</v>
      </c>
      <c r="AD854" s="18">
        <v>1</v>
      </c>
      <c r="AE854" s="18">
        <v>1</v>
      </c>
      <c r="AN854" s="3">
        <f>SUM(Y854:AM854)</f>
        <v>6</v>
      </c>
      <c r="AO854" s="3">
        <v>5</v>
      </c>
      <c r="AP854" s="3">
        <v>1</v>
      </c>
      <c r="AR854" s="2" t="s">
        <v>213</v>
      </c>
    </row>
    <row r="855" spans="1:44" ht="12.75" customHeight="1">
      <c r="A855" s="5">
        <v>39892</v>
      </c>
      <c r="B855" s="2" t="s">
        <v>152</v>
      </c>
      <c r="C855" s="2" t="s">
        <v>932</v>
      </c>
      <c r="E855" s="18">
        <v>0</v>
      </c>
      <c r="F855" s="18">
        <v>1</v>
      </c>
      <c r="G855" s="18">
        <v>1</v>
      </c>
      <c r="H855" s="18">
        <v>0</v>
      </c>
      <c r="I855" s="18">
        <v>4</v>
      </c>
      <c r="J855" s="18">
        <v>2</v>
      </c>
      <c r="K855" s="18">
        <v>0</v>
      </c>
      <c r="T855" s="3">
        <f>SUM(E855:S855)</f>
        <v>8</v>
      </c>
      <c r="U855" s="3">
        <v>9</v>
      </c>
      <c r="V855" s="3">
        <v>2</v>
      </c>
      <c r="X855" s="2" t="s">
        <v>380</v>
      </c>
      <c r="Y855" s="18">
        <v>0</v>
      </c>
      <c r="Z855" s="18">
        <v>0</v>
      </c>
      <c r="AA855" s="18">
        <v>0</v>
      </c>
      <c r="AB855" s="18">
        <v>1</v>
      </c>
      <c r="AC855" s="18">
        <v>1</v>
      </c>
      <c r="AD855" s="18">
        <v>0</v>
      </c>
      <c r="AE855" s="18">
        <v>0</v>
      </c>
      <c r="AN855" s="3">
        <f>SUM(Y855:AM855)</f>
        <v>2</v>
      </c>
      <c r="AO855" s="3">
        <v>6</v>
      </c>
      <c r="AP855" s="3">
        <v>2</v>
      </c>
      <c r="AR855" s="2" t="s">
        <v>499</v>
      </c>
    </row>
    <row r="856" spans="1:44" ht="12.75" customHeight="1">
      <c r="A856" s="5">
        <v>40991</v>
      </c>
      <c r="B856" s="2" t="s">
        <v>152</v>
      </c>
      <c r="C856" s="2" t="s">
        <v>932</v>
      </c>
      <c r="E856" s="18">
        <v>0</v>
      </c>
      <c r="F856" s="18">
        <v>0</v>
      </c>
      <c r="G856" s="18">
        <v>4</v>
      </c>
      <c r="H856" s="18">
        <v>0</v>
      </c>
      <c r="I856" s="18">
        <v>1</v>
      </c>
      <c r="J856" s="18">
        <v>0</v>
      </c>
      <c r="K856" s="18">
        <v>4</v>
      </c>
      <c r="T856" s="3">
        <f>SUM(E856:S856)</f>
        <v>9</v>
      </c>
      <c r="U856" s="3">
        <v>7</v>
      </c>
      <c r="V856" s="3">
        <v>2</v>
      </c>
      <c r="X856" s="2" t="s">
        <v>2016</v>
      </c>
      <c r="Y856" s="18">
        <v>2</v>
      </c>
      <c r="Z856" s="18">
        <v>5</v>
      </c>
      <c r="AA856" s="18">
        <v>0</v>
      </c>
      <c r="AB856" s="18">
        <v>1</v>
      </c>
      <c r="AC856" s="18">
        <v>1</v>
      </c>
      <c r="AD856" s="18">
        <v>0</v>
      </c>
      <c r="AE856" s="18">
        <v>1</v>
      </c>
      <c r="AN856" s="3">
        <f>SUM(Y856:AM856)</f>
        <v>10</v>
      </c>
      <c r="AO856" s="3">
        <v>14</v>
      </c>
      <c r="AP856" s="3">
        <v>2</v>
      </c>
      <c r="AR856" s="2" t="s">
        <v>2021</v>
      </c>
    </row>
    <row r="857" spans="1:44" ht="12.75" customHeight="1">
      <c r="A857" s="4">
        <f>DATE(91,6,7)</f>
        <v>33396</v>
      </c>
      <c r="B857" s="2" t="s">
        <v>239</v>
      </c>
      <c r="C857" s="2" t="s">
        <v>394</v>
      </c>
      <c r="D857" s="2" t="s">
        <v>260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T857" s="3">
        <v>0</v>
      </c>
      <c r="U857" s="3">
        <v>2</v>
      </c>
      <c r="V857" s="3">
        <v>4</v>
      </c>
      <c r="X857" s="2" t="s">
        <v>1769</v>
      </c>
      <c r="Y857" s="18">
        <v>4</v>
      </c>
      <c r="Z857" s="18">
        <v>4</v>
      </c>
      <c r="AA857" s="18">
        <v>0</v>
      </c>
      <c r="AB857" s="18">
        <v>0</v>
      </c>
      <c r="AC857" s="18">
        <v>3</v>
      </c>
      <c r="AN857" s="3">
        <v>11</v>
      </c>
      <c r="AO857" s="3">
        <v>10</v>
      </c>
      <c r="AP857" s="3">
        <v>0</v>
      </c>
      <c r="AR857" s="2" t="s">
        <v>1770</v>
      </c>
    </row>
    <row r="858" spans="1:44" ht="12.75" customHeight="1">
      <c r="A858" s="4">
        <f>DATE(80,4,4)</f>
        <v>29315</v>
      </c>
      <c r="B858" s="2" t="s">
        <v>152</v>
      </c>
      <c r="C858" s="2" t="s">
        <v>1242</v>
      </c>
      <c r="E858" s="18">
        <v>1</v>
      </c>
      <c r="F858" s="18">
        <v>2</v>
      </c>
      <c r="G858" s="18">
        <v>0</v>
      </c>
      <c r="H858" s="18">
        <v>3</v>
      </c>
      <c r="I858" s="18">
        <v>0</v>
      </c>
      <c r="T858" s="3">
        <v>6</v>
      </c>
      <c r="U858" s="3">
        <v>8</v>
      </c>
      <c r="V858" s="3">
        <v>4</v>
      </c>
      <c r="X858" s="2" t="s">
        <v>1243</v>
      </c>
      <c r="Y858" s="18">
        <v>0</v>
      </c>
      <c r="Z858" s="18">
        <v>0</v>
      </c>
      <c r="AA858" s="18">
        <v>4</v>
      </c>
      <c r="AB858" s="18">
        <v>3</v>
      </c>
      <c r="AC858" s="18">
        <v>3</v>
      </c>
      <c r="AN858" s="3">
        <v>10</v>
      </c>
      <c r="AO858" s="3">
        <v>7</v>
      </c>
      <c r="AP858" s="3">
        <v>4</v>
      </c>
      <c r="AR858" s="2" t="s">
        <v>287</v>
      </c>
    </row>
    <row r="859" spans="1:44" ht="12.75" customHeight="1">
      <c r="A859" s="4">
        <v>14366</v>
      </c>
      <c r="B859" s="2" t="s">
        <v>152</v>
      </c>
      <c r="C859" s="2" t="s">
        <v>160</v>
      </c>
      <c r="T859" s="3">
        <v>5</v>
      </c>
      <c r="U859" s="3" t="s">
        <v>162</v>
      </c>
      <c r="V859" s="3" t="s">
        <v>162</v>
      </c>
      <c r="X859" s="2" t="s">
        <v>27</v>
      </c>
      <c r="AN859" s="3">
        <v>10</v>
      </c>
      <c r="AO859" s="3" t="s">
        <v>162</v>
      </c>
      <c r="AP859" s="3" t="s">
        <v>162</v>
      </c>
      <c r="AR859" s="2" t="s">
        <v>27</v>
      </c>
    </row>
    <row r="860" spans="1:44" ht="12.75" customHeight="1">
      <c r="A860" s="4">
        <v>14384</v>
      </c>
      <c r="C860" s="2" t="s">
        <v>160</v>
      </c>
      <c r="E860" s="18">
        <v>2</v>
      </c>
      <c r="F860" s="18">
        <v>0</v>
      </c>
      <c r="G860" s="18">
        <v>1</v>
      </c>
      <c r="H860" s="18">
        <v>2</v>
      </c>
      <c r="I860" s="18">
        <v>1</v>
      </c>
      <c r="J860" s="18">
        <v>7</v>
      </c>
      <c r="K860" s="18">
        <v>6</v>
      </c>
      <c r="L860" s="18">
        <v>4</v>
      </c>
      <c r="T860" s="3">
        <v>23</v>
      </c>
      <c r="U860" s="3">
        <v>25</v>
      </c>
      <c r="V860" s="3">
        <v>0</v>
      </c>
      <c r="X860" s="2" t="s">
        <v>1922</v>
      </c>
      <c r="Y860" s="18">
        <v>0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N860" s="3">
        <v>0</v>
      </c>
      <c r="AO860" s="3">
        <v>6</v>
      </c>
      <c r="AP860" s="3">
        <v>0</v>
      </c>
      <c r="AR860" s="2" t="s">
        <v>1929</v>
      </c>
    </row>
    <row r="861" spans="1:44" ht="12.75" customHeight="1">
      <c r="A861" s="4">
        <v>14753</v>
      </c>
      <c r="C861" s="2" t="s">
        <v>160</v>
      </c>
      <c r="E861" s="18">
        <v>4</v>
      </c>
      <c r="F861" s="18">
        <v>2</v>
      </c>
      <c r="G861" s="18">
        <v>0</v>
      </c>
      <c r="H861" s="18">
        <v>5</v>
      </c>
      <c r="I861" s="18" t="s">
        <v>162</v>
      </c>
      <c r="T861" s="3">
        <v>11</v>
      </c>
      <c r="U861" s="3">
        <v>7</v>
      </c>
      <c r="V861" s="3">
        <v>0</v>
      </c>
      <c r="X861" s="2" t="s">
        <v>1744</v>
      </c>
      <c r="Y861" s="18">
        <v>0</v>
      </c>
      <c r="Z861" s="18">
        <v>0</v>
      </c>
      <c r="AA861" s="18">
        <v>0</v>
      </c>
      <c r="AB861" s="18">
        <v>0</v>
      </c>
      <c r="AC861" s="18">
        <v>1</v>
      </c>
      <c r="AN861" s="3">
        <v>1</v>
      </c>
      <c r="AO861" s="3">
        <v>3</v>
      </c>
      <c r="AP861" s="3">
        <v>0</v>
      </c>
      <c r="AR861" s="2" t="s">
        <v>40</v>
      </c>
    </row>
    <row r="862" spans="1:44" ht="12.75" customHeight="1">
      <c r="A862" s="4">
        <v>14753</v>
      </c>
      <c r="C862" s="2" t="s">
        <v>160</v>
      </c>
      <c r="E862" s="18">
        <v>2</v>
      </c>
      <c r="F862" s="18">
        <v>0</v>
      </c>
      <c r="G862" s="18">
        <v>0</v>
      </c>
      <c r="H862" s="18">
        <v>5</v>
      </c>
      <c r="I862" s="18" t="s">
        <v>162</v>
      </c>
      <c r="T862" s="3">
        <v>7</v>
      </c>
      <c r="U862" s="3">
        <v>3</v>
      </c>
      <c r="V862" s="3">
        <v>0</v>
      </c>
      <c r="X862" s="2" t="s">
        <v>1744</v>
      </c>
      <c r="Y862" s="18">
        <v>0</v>
      </c>
      <c r="Z862" s="18">
        <v>0</v>
      </c>
      <c r="AA862" s="18">
        <v>1</v>
      </c>
      <c r="AB862" s="18">
        <v>2</v>
      </c>
      <c r="AC862" s="18">
        <v>0</v>
      </c>
      <c r="AN862" s="3">
        <v>3</v>
      </c>
      <c r="AO862" s="3">
        <v>6</v>
      </c>
      <c r="AP862" s="3">
        <v>0</v>
      </c>
      <c r="AR862" s="2" t="s">
        <v>41</v>
      </c>
    </row>
    <row r="863" spans="1:44" ht="12.75" customHeight="1">
      <c r="A863" s="20">
        <v>1945</v>
      </c>
      <c r="C863" s="2" t="s">
        <v>160</v>
      </c>
      <c r="T863" s="3">
        <v>10</v>
      </c>
      <c r="U863" s="3" t="s">
        <v>162</v>
      </c>
      <c r="V863" s="3" t="s">
        <v>162</v>
      </c>
      <c r="X863" s="2" t="s">
        <v>27</v>
      </c>
      <c r="AN863" s="3">
        <v>7</v>
      </c>
      <c r="AO863" s="3" t="s">
        <v>162</v>
      </c>
      <c r="AP863" s="3" t="s">
        <v>162</v>
      </c>
      <c r="AR863" s="2" t="s">
        <v>27</v>
      </c>
    </row>
    <row r="864" spans="1:44" ht="12.75" customHeight="1">
      <c r="A864" s="20">
        <v>1945</v>
      </c>
      <c r="C864" s="2" t="s">
        <v>160</v>
      </c>
      <c r="T864" s="3">
        <v>4</v>
      </c>
      <c r="U864" s="3" t="s">
        <v>162</v>
      </c>
      <c r="V864" s="3" t="s">
        <v>162</v>
      </c>
      <c r="X864" s="2" t="s">
        <v>27</v>
      </c>
      <c r="AN864" s="3">
        <v>7</v>
      </c>
      <c r="AO864" s="3" t="s">
        <v>162</v>
      </c>
      <c r="AP864" s="3" t="s">
        <v>162</v>
      </c>
      <c r="AR864" s="2" t="s">
        <v>27</v>
      </c>
    </row>
    <row r="865" spans="1:44" ht="12.75" customHeight="1">
      <c r="A865" s="4">
        <v>18029</v>
      </c>
      <c r="B865" s="2" t="s">
        <v>152</v>
      </c>
      <c r="C865" s="2" t="s">
        <v>160</v>
      </c>
      <c r="E865" s="18">
        <v>0</v>
      </c>
      <c r="F865" s="18">
        <v>0</v>
      </c>
      <c r="G865" s="18">
        <v>0</v>
      </c>
      <c r="H865" s="18">
        <v>0</v>
      </c>
      <c r="I865" s="18">
        <v>3</v>
      </c>
      <c r="J865" s="18">
        <v>0</v>
      </c>
      <c r="K865" s="18">
        <v>0</v>
      </c>
      <c r="L865" s="18">
        <v>3</v>
      </c>
      <c r="T865" s="3">
        <v>6</v>
      </c>
      <c r="U865" s="3">
        <v>8</v>
      </c>
      <c r="V865" s="3">
        <v>4</v>
      </c>
      <c r="X865" s="2" t="s">
        <v>80</v>
      </c>
      <c r="Y865" s="18">
        <v>0</v>
      </c>
      <c r="Z865" s="18">
        <v>1</v>
      </c>
      <c r="AA865" s="18">
        <v>0</v>
      </c>
      <c r="AB865" s="18">
        <v>2</v>
      </c>
      <c r="AC865" s="18">
        <v>0</v>
      </c>
      <c r="AD865" s="18">
        <v>0</v>
      </c>
      <c r="AE865" s="18">
        <v>0</v>
      </c>
      <c r="AF865" s="18">
        <v>0</v>
      </c>
      <c r="AN865" s="3">
        <v>3</v>
      </c>
      <c r="AO865" s="3">
        <v>4</v>
      </c>
      <c r="AP865" s="3">
        <v>4</v>
      </c>
      <c r="AR865" s="2" t="s">
        <v>339</v>
      </c>
    </row>
    <row r="866" spans="1:44" ht="12.75" customHeight="1">
      <c r="A866" s="4">
        <v>14363</v>
      </c>
      <c r="B866" s="2" t="s">
        <v>152</v>
      </c>
      <c r="C866" s="2" t="s">
        <v>157</v>
      </c>
      <c r="E866" s="18">
        <v>0</v>
      </c>
      <c r="F866" s="18">
        <v>0</v>
      </c>
      <c r="G866" s="18">
        <v>1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T866" s="3">
        <v>1</v>
      </c>
      <c r="U866" s="3">
        <v>3</v>
      </c>
      <c r="V866" s="3">
        <v>4</v>
      </c>
      <c r="X866" s="2" t="s">
        <v>1926</v>
      </c>
      <c r="Y866" s="18">
        <v>0</v>
      </c>
      <c r="Z866" s="18">
        <v>1</v>
      </c>
      <c r="AA866" s="18">
        <v>0</v>
      </c>
      <c r="AB866" s="18">
        <v>2</v>
      </c>
      <c r="AC866" s="18">
        <v>0</v>
      </c>
      <c r="AD866" s="18">
        <v>0</v>
      </c>
      <c r="AE866" s="18">
        <v>1</v>
      </c>
      <c r="AF866" s="18">
        <v>1</v>
      </c>
      <c r="AG866" s="18" t="s">
        <v>158</v>
      </c>
      <c r="AN866" s="3">
        <v>5</v>
      </c>
      <c r="AO866" s="3">
        <v>7</v>
      </c>
      <c r="AP866" s="3">
        <v>1</v>
      </c>
      <c r="AR866" s="2" t="s">
        <v>159</v>
      </c>
    </row>
    <row r="867" spans="1:44" ht="12.75" customHeight="1">
      <c r="A867" s="20">
        <v>1939</v>
      </c>
      <c r="C867" s="2" t="s">
        <v>157</v>
      </c>
      <c r="T867" s="3">
        <v>1</v>
      </c>
      <c r="U867" s="3" t="s">
        <v>162</v>
      </c>
      <c r="V867" s="3" t="s">
        <v>162</v>
      </c>
      <c r="X867" s="2" t="s">
        <v>27</v>
      </c>
      <c r="AN867" s="3">
        <v>6</v>
      </c>
      <c r="AO867" s="3" t="s">
        <v>162</v>
      </c>
      <c r="AP867" s="3" t="s">
        <v>162</v>
      </c>
      <c r="AR867" s="2" t="s">
        <v>27</v>
      </c>
    </row>
    <row r="868" spans="1:44" ht="12.75" customHeight="1">
      <c r="A868" s="4">
        <v>14745</v>
      </c>
      <c r="B868" s="2" t="s">
        <v>152</v>
      </c>
      <c r="C868" s="2" t="s">
        <v>157</v>
      </c>
      <c r="E868" s="18">
        <v>5</v>
      </c>
      <c r="F868" s="18">
        <v>0</v>
      </c>
      <c r="G868" s="18">
        <v>3</v>
      </c>
      <c r="H868" s="18">
        <v>1</v>
      </c>
      <c r="I868" s="18">
        <v>2</v>
      </c>
      <c r="J868" s="18">
        <v>8</v>
      </c>
      <c r="K868" s="18">
        <v>5</v>
      </c>
      <c r="T868" s="3">
        <v>24</v>
      </c>
      <c r="U868" s="3">
        <v>15</v>
      </c>
      <c r="V868" s="3">
        <v>0</v>
      </c>
      <c r="X868" s="2" t="s">
        <v>55</v>
      </c>
      <c r="Y868" s="18">
        <v>1</v>
      </c>
      <c r="Z868" s="18">
        <v>0</v>
      </c>
      <c r="AA868" s="18">
        <v>0</v>
      </c>
      <c r="AB868" s="18">
        <v>1</v>
      </c>
      <c r="AC868" s="18">
        <v>2</v>
      </c>
      <c r="AD868" s="18">
        <v>0</v>
      </c>
      <c r="AE868" s="18">
        <v>0</v>
      </c>
      <c r="AN868" s="3">
        <v>4</v>
      </c>
      <c r="AO868" s="3">
        <v>4</v>
      </c>
      <c r="AP868" s="3">
        <v>0</v>
      </c>
      <c r="AR868" s="2" t="s">
        <v>36</v>
      </c>
    </row>
    <row r="869" spans="1:44" ht="12.75" customHeight="1">
      <c r="A869" s="4">
        <v>14749</v>
      </c>
      <c r="C869" s="2" t="s">
        <v>157</v>
      </c>
      <c r="E869" s="18">
        <v>3</v>
      </c>
      <c r="F869" s="18">
        <v>5</v>
      </c>
      <c r="G869" s="18">
        <v>1</v>
      </c>
      <c r="H869" s="18">
        <v>1</v>
      </c>
      <c r="I869" s="18">
        <v>0</v>
      </c>
      <c r="J869" s="18">
        <v>3</v>
      </c>
      <c r="K869" s="18" t="s">
        <v>162</v>
      </c>
      <c r="T869" s="3">
        <v>13</v>
      </c>
      <c r="U869" s="3">
        <v>12</v>
      </c>
      <c r="V869" s="3">
        <v>0</v>
      </c>
      <c r="X869" s="2" t="s">
        <v>1745</v>
      </c>
      <c r="Y869" s="18">
        <v>0</v>
      </c>
      <c r="Z869" s="18">
        <v>0</v>
      </c>
      <c r="AA869" s="18">
        <v>0</v>
      </c>
      <c r="AB869" s="18">
        <v>3</v>
      </c>
      <c r="AC869" s="18">
        <v>0</v>
      </c>
      <c r="AD869" s="18">
        <v>0</v>
      </c>
      <c r="AE869" s="18">
        <v>0</v>
      </c>
      <c r="AN869" s="3">
        <v>3</v>
      </c>
      <c r="AO869" s="3">
        <v>6</v>
      </c>
      <c r="AP869" s="3">
        <v>0</v>
      </c>
      <c r="AR869" s="2" t="s">
        <v>38</v>
      </c>
    </row>
    <row r="870" spans="1:44" ht="12.75" customHeight="1">
      <c r="A870" s="20">
        <v>1941</v>
      </c>
      <c r="C870" s="2" t="s">
        <v>157</v>
      </c>
      <c r="T870" s="3" t="s">
        <v>1990</v>
      </c>
      <c r="U870" s="3" t="s">
        <v>162</v>
      </c>
      <c r="V870" s="3" t="s">
        <v>162</v>
      </c>
      <c r="X870" s="2" t="s">
        <v>27</v>
      </c>
      <c r="AN870" s="3" t="s">
        <v>1991</v>
      </c>
      <c r="AO870" s="3" t="s">
        <v>162</v>
      </c>
      <c r="AP870" s="3" t="s">
        <v>162</v>
      </c>
      <c r="AR870" s="2" t="s">
        <v>27</v>
      </c>
    </row>
    <row r="871" spans="1:44" ht="12.75" customHeight="1">
      <c r="A871" s="4">
        <v>15089</v>
      </c>
      <c r="B871" s="2" t="s">
        <v>152</v>
      </c>
      <c r="C871" s="2" t="s">
        <v>157</v>
      </c>
      <c r="E871" s="18">
        <v>2</v>
      </c>
      <c r="F871" s="18">
        <v>7</v>
      </c>
      <c r="G871" s="18">
        <v>0</v>
      </c>
      <c r="H871" s="18">
        <v>7</v>
      </c>
      <c r="I871" s="18">
        <v>8</v>
      </c>
      <c r="T871" s="3">
        <v>24</v>
      </c>
      <c r="U871" s="3">
        <v>18</v>
      </c>
      <c r="V871" s="3" t="s">
        <v>162</v>
      </c>
      <c r="X871" s="2" t="s">
        <v>1749</v>
      </c>
      <c r="Y871" s="18">
        <v>0</v>
      </c>
      <c r="Z871" s="18">
        <v>0</v>
      </c>
      <c r="AA871" s="18">
        <v>0</v>
      </c>
      <c r="AB871" s="18">
        <v>0</v>
      </c>
      <c r="AC871" s="18">
        <v>0</v>
      </c>
      <c r="AN871" s="3">
        <v>0</v>
      </c>
      <c r="AO871" s="3">
        <v>1</v>
      </c>
      <c r="AP871" s="3" t="s">
        <v>162</v>
      </c>
      <c r="AR871" s="2" t="s">
        <v>38</v>
      </c>
    </row>
    <row r="872" spans="1:44" ht="12.75" customHeight="1">
      <c r="A872" s="4">
        <v>15456</v>
      </c>
      <c r="B872" s="2" t="s">
        <v>152</v>
      </c>
      <c r="C872" s="2" t="s">
        <v>157</v>
      </c>
      <c r="E872" s="18">
        <v>1</v>
      </c>
      <c r="F872" s="18">
        <v>4</v>
      </c>
      <c r="G872" s="18">
        <v>0</v>
      </c>
      <c r="H872" s="18">
        <v>2</v>
      </c>
      <c r="I872" s="18">
        <v>3</v>
      </c>
      <c r="J872" s="18">
        <v>1</v>
      </c>
      <c r="K872" s="18">
        <v>3</v>
      </c>
      <c r="L872" s="18">
        <v>2</v>
      </c>
      <c r="M872" s="18">
        <v>1</v>
      </c>
      <c r="T872" s="3">
        <v>17</v>
      </c>
      <c r="U872" s="3">
        <v>24</v>
      </c>
      <c r="V872" s="3">
        <v>5</v>
      </c>
      <c r="X872" s="2" t="s">
        <v>69</v>
      </c>
      <c r="Y872" s="18">
        <v>0</v>
      </c>
      <c r="Z872" s="18">
        <v>0</v>
      </c>
      <c r="AA872" s="18">
        <v>0</v>
      </c>
      <c r="AB872" s="18">
        <v>0</v>
      </c>
      <c r="AC872" s="18">
        <v>0</v>
      </c>
      <c r="AD872" s="18">
        <v>3</v>
      </c>
      <c r="AE872" s="18">
        <v>1</v>
      </c>
      <c r="AF872" s="18">
        <v>0</v>
      </c>
      <c r="AG872" s="18">
        <v>0</v>
      </c>
      <c r="AN872" s="3">
        <v>4</v>
      </c>
      <c r="AO872" s="3">
        <v>7</v>
      </c>
      <c r="AP872" s="3">
        <v>5</v>
      </c>
      <c r="AR872" s="2" t="s">
        <v>360</v>
      </c>
    </row>
    <row r="873" spans="1:44" ht="12.75" customHeight="1">
      <c r="A873" s="4">
        <v>15474</v>
      </c>
      <c r="C873" s="2" t="s">
        <v>157</v>
      </c>
      <c r="E873" s="18">
        <v>0</v>
      </c>
      <c r="F873" s="18">
        <v>0</v>
      </c>
      <c r="G873" s="18">
        <v>0</v>
      </c>
      <c r="H873" s="18">
        <v>3</v>
      </c>
      <c r="I873" s="18">
        <v>8</v>
      </c>
      <c r="J873" s="18">
        <v>1</v>
      </c>
      <c r="K873" s="18">
        <v>0</v>
      </c>
      <c r="L873" s="18">
        <v>0</v>
      </c>
      <c r="M873" s="18" t="s">
        <v>162</v>
      </c>
      <c r="T873" s="3">
        <v>12</v>
      </c>
      <c r="U873" s="3">
        <v>15</v>
      </c>
      <c r="V873" s="3">
        <v>3</v>
      </c>
      <c r="X873" s="2" t="s">
        <v>70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  <c r="AD873" s="18">
        <v>1</v>
      </c>
      <c r="AE873" s="18">
        <v>0</v>
      </c>
      <c r="AF873" s="18">
        <v>1</v>
      </c>
      <c r="AG873" s="18">
        <v>0</v>
      </c>
      <c r="AN873" s="3">
        <v>2</v>
      </c>
      <c r="AO873" s="3">
        <v>15</v>
      </c>
      <c r="AP873" s="3">
        <v>3</v>
      </c>
      <c r="AR873" s="2" t="s">
        <v>366</v>
      </c>
    </row>
    <row r="874" spans="1:44" ht="12.75" customHeight="1">
      <c r="A874" s="4">
        <f>DATE(71,6,7)</f>
        <v>26091</v>
      </c>
      <c r="B874" s="2" t="s">
        <v>239</v>
      </c>
      <c r="C874" s="2" t="s">
        <v>376</v>
      </c>
      <c r="D874" s="2" t="s">
        <v>243</v>
      </c>
      <c r="E874" s="18">
        <v>0</v>
      </c>
      <c r="F874" s="18">
        <v>0</v>
      </c>
      <c r="G874" s="18">
        <v>0</v>
      </c>
      <c r="H874" s="18">
        <v>2</v>
      </c>
      <c r="I874" s="18">
        <v>0</v>
      </c>
      <c r="J874" s="18">
        <v>2</v>
      </c>
      <c r="K874" s="18" t="s">
        <v>162</v>
      </c>
      <c r="T874" s="3">
        <v>4</v>
      </c>
      <c r="U874" s="3">
        <v>8</v>
      </c>
      <c r="V874" s="3">
        <v>4</v>
      </c>
      <c r="X874" s="2" t="s">
        <v>949</v>
      </c>
      <c r="Y874" s="18">
        <v>2</v>
      </c>
      <c r="Z874" s="18">
        <v>0</v>
      </c>
      <c r="AA874" s="18">
        <v>1</v>
      </c>
      <c r="AB874" s="18">
        <v>0</v>
      </c>
      <c r="AC874" s="18">
        <v>0</v>
      </c>
      <c r="AD874" s="18">
        <v>0</v>
      </c>
      <c r="AE874" s="18">
        <v>0</v>
      </c>
      <c r="AN874" s="3">
        <v>3</v>
      </c>
      <c r="AO874" s="3">
        <v>5</v>
      </c>
      <c r="AP874" s="3">
        <v>3</v>
      </c>
      <c r="AR874" s="2" t="s">
        <v>965</v>
      </c>
    </row>
    <row r="875" spans="1:44" ht="12.75" customHeight="1">
      <c r="A875" s="4">
        <f>DATE(72,5,29)</f>
        <v>26448</v>
      </c>
      <c r="B875" s="2" t="s">
        <v>239</v>
      </c>
      <c r="C875" s="2" t="s">
        <v>377</v>
      </c>
      <c r="D875" s="2" t="s">
        <v>243</v>
      </c>
      <c r="E875" s="18">
        <v>1</v>
      </c>
      <c r="F875" s="18">
        <v>0</v>
      </c>
      <c r="G875" s="18">
        <v>2</v>
      </c>
      <c r="H875" s="18">
        <v>0</v>
      </c>
      <c r="I875" s="18">
        <v>0</v>
      </c>
      <c r="J875" s="18">
        <v>0</v>
      </c>
      <c r="K875" s="18">
        <v>0</v>
      </c>
      <c r="T875" s="3">
        <v>3</v>
      </c>
      <c r="U875" s="3">
        <v>9</v>
      </c>
      <c r="V875" s="3">
        <v>4</v>
      </c>
      <c r="X875" s="2" t="s">
        <v>990</v>
      </c>
      <c r="Y875" s="18">
        <v>0</v>
      </c>
      <c r="Z875" s="18">
        <v>0</v>
      </c>
      <c r="AA875" s="18">
        <v>0</v>
      </c>
      <c r="AB875" s="18">
        <v>2</v>
      </c>
      <c r="AC875" s="18">
        <v>0</v>
      </c>
      <c r="AD875" s="18">
        <v>3</v>
      </c>
      <c r="AE875" s="18" t="s">
        <v>162</v>
      </c>
      <c r="AN875" s="3">
        <v>5</v>
      </c>
      <c r="AO875" s="3">
        <v>9</v>
      </c>
      <c r="AP875" s="3">
        <v>2</v>
      </c>
      <c r="AR875" s="2" t="s">
        <v>991</v>
      </c>
    </row>
    <row r="876" spans="1:44" ht="12.75" customHeight="1">
      <c r="A876" s="4">
        <f>DATE(72,5,2)</f>
        <v>26421</v>
      </c>
      <c r="C876" s="2" t="s">
        <v>379</v>
      </c>
      <c r="E876" s="18">
        <v>2</v>
      </c>
      <c r="F876" s="18">
        <v>0</v>
      </c>
      <c r="G876" s="18">
        <v>1</v>
      </c>
      <c r="H876" s="18">
        <v>1</v>
      </c>
      <c r="I876" s="18">
        <v>0</v>
      </c>
      <c r="J876" s="18">
        <v>2</v>
      </c>
      <c r="K876" s="18" t="s">
        <v>162</v>
      </c>
      <c r="T876" s="3">
        <v>6</v>
      </c>
      <c r="U876" s="3">
        <v>7</v>
      </c>
      <c r="V876" s="3">
        <v>1</v>
      </c>
      <c r="X876" s="2" t="s">
        <v>971</v>
      </c>
      <c r="Y876" s="18">
        <v>0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  <c r="AE876" s="18">
        <v>0</v>
      </c>
      <c r="AN876" s="3">
        <v>0</v>
      </c>
      <c r="AO876" s="3">
        <v>1</v>
      </c>
      <c r="AP876" s="3">
        <v>1</v>
      </c>
      <c r="AR876" s="2" t="s">
        <v>977</v>
      </c>
    </row>
    <row r="877" spans="1:44" ht="12.75" customHeight="1">
      <c r="A877" s="4">
        <f>DATE(72,5,26)</f>
        <v>26445</v>
      </c>
      <c r="B877" s="2" t="s">
        <v>152</v>
      </c>
      <c r="C877" s="2" t="s">
        <v>379</v>
      </c>
      <c r="E877" s="18">
        <v>1</v>
      </c>
      <c r="F877" s="18">
        <v>0</v>
      </c>
      <c r="G877" s="18">
        <v>1</v>
      </c>
      <c r="H877" s="18">
        <v>0</v>
      </c>
      <c r="I877" s="18">
        <v>2</v>
      </c>
      <c r="J877" s="18">
        <v>3</v>
      </c>
      <c r="K877" s="18">
        <v>0</v>
      </c>
      <c r="T877" s="3">
        <v>7</v>
      </c>
      <c r="U877" s="3">
        <v>7</v>
      </c>
      <c r="V877" s="3">
        <v>2</v>
      </c>
      <c r="X877" s="2" t="s">
        <v>988</v>
      </c>
      <c r="Y877" s="18">
        <v>0</v>
      </c>
      <c r="Z877" s="18">
        <v>0</v>
      </c>
      <c r="AA877" s="18">
        <v>0</v>
      </c>
      <c r="AB877" s="18">
        <v>4</v>
      </c>
      <c r="AC877" s="18">
        <v>0</v>
      </c>
      <c r="AD877" s="18">
        <v>0</v>
      </c>
      <c r="AE877" s="18">
        <v>0</v>
      </c>
      <c r="AN877" s="3">
        <v>4</v>
      </c>
      <c r="AO877" s="3">
        <v>6</v>
      </c>
      <c r="AP877" s="3">
        <v>7</v>
      </c>
      <c r="AR877" s="2" t="s">
        <v>989</v>
      </c>
    </row>
    <row r="878" spans="1:44" ht="12.75" customHeight="1">
      <c r="A878" s="4">
        <f>DATE(73,4,13)</f>
        <v>26767</v>
      </c>
      <c r="B878" s="2" t="s">
        <v>152</v>
      </c>
      <c r="C878" s="2" t="s">
        <v>379</v>
      </c>
      <c r="E878" s="18">
        <v>1</v>
      </c>
      <c r="F878" s="18">
        <v>3</v>
      </c>
      <c r="G878" s="18">
        <v>0</v>
      </c>
      <c r="H878" s="18">
        <v>0</v>
      </c>
      <c r="I878" s="18">
        <v>1</v>
      </c>
      <c r="J878" s="18">
        <v>2</v>
      </c>
      <c r="K878" s="18">
        <v>0</v>
      </c>
      <c r="T878" s="3">
        <v>7</v>
      </c>
      <c r="U878" s="3">
        <v>11</v>
      </c>
      <c r="V878" s="3">
        <v>2</v>
      </c>
      <c r="X878" s="2" t="s">
        <v>994</v>
      </c>
      <c r="Y878" s="18">
        <v>0</v>
      </c>
      <c r="Z878" s="18">
        <v>0</v>
      </c>
      <c r="AA878" s="18">
        <v>2</v>
      </c>
      <c r="AB878" s="18">
        <v>0</v>
      </c>
      <c r="AC878" s="18">
        <v>0</v>
      </c>
      <c r="AD878" s="18">
        <v>1</v>
      </c>
      <c r="AE878" s="18">
        <v>0</v>
      </c>
      <c r="AN878" s="3">
        <v>3</v>
      </c>
      <c r="AO878" s="3">
        <v>5</v>
      </c>
      <c r="AP878" s="3">
        <v>1</v>
      </c>
      <c r="AR878" s="2" t="s">
        <v>995</v>
      </c>
    </row>
    <row r="879" spans="1:44" ht="12.75" customHeight="1">
      <c r="A879" s="4">
        <f>DATE(73,5,7)</f>
        <v>26791</v>
      </c>
      <c r="C879" s="2" t="s">
        <v>379</v>
      </c>
      <c r="E879" s="18">
        <v>0</v>
      </c>
      <c r="F879" s="18">
        <v>0</v>
      </c>
      <c r="G879" s="18">
        <v>0</v>
      </c>
      <c r="H879" s="18">
        <v>1</v>
      </c>
      <c r="I879" s="18">
        <v>0</v>
      </c>
      <c r="J879" s="18">
        <v>0</v>
      </c>
      <c r="K879" s="18" t="s">
        <v>162</v>
      </c>
      <c r="T879" s="3">
        <v>1</v>
      </c>
      <c r="U879" s="3">
        <v>2</v>
      </c>
      <c r="V879" s="3">
        <v>1</v>
      </c>
      <c r="X879" s="2" t="s">
        <v>1005</v>
      </c>
      <c r="Y879" s="18">
        <v>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  <c r="AE879" s="18">
        <v>0</v>
      </c>
      <c r="AN879" s="3">
        <v>0</v>
      </c>
      <c r="AO879" s="3">
        <v>4</v>
      </c>
      <c r="AP879" s="3">
        <v>2</v>
      </c>
      <c r="AR879" s="2" t="s">
        <v>1006</v>
      </c>
    </row>
    <row r="880" spans="1:44" ht="12.75" customHeight="1">
      <c r="A880" s="4">
        <f>DATE(74,4,11)</f>
        <v>27130</v>
      </c>
      <c r="B880" s="2" t="s">
        <v>152</v>
      </c>
      <c r="C880" s="2" t="s">
        <v>379</v>
      </c>
      <c r="E880" s="18">
        <v>2</v>
      </c>
      <c r="F880" s="18">
        <v>0</v>
      </c>
      <c r="G880" s="18">
        <v>1</v>
      </c>
      <c r="H880" s="18">
        <v>0</v>
      </c>
      <c r="I880" s="18">
        <v>0</v>
      </c>
      <c r="J880" s="18">
        <v>0</v>
      </c>
      <c r="K880" s="18">
        <v>0</v>
      </c>
      <c r="T880" s="3">
        <v>3</v>
      </c>
      <c r="U880" s="3">
        <v>5</v>
      </c>
      <c r="V880" s="3">
        <v>2</v>
      </c>
      <c r="X880" s="2" t="s">
        <v>996</v>
      </c>
      <c r="Y880" s="18">
        <v>0</v>
      </c>
      <c r="Z880" s="18">
        <v>0</v>
      </c>
      <c r="AA880" s="18">
        <v>0</v>
      </c>
      <c r="AB880" s="18">
        <v>0</v>
      </c>
      <c r="AC880" s="18">
        <v>1</v>
      </c>
      <c r="AD880" s="18">
        <v>0</v>
      </c>
      <c r="AE880" s="18">
        <v>0</v>
      </c>
      <c r="AN880" s="3">
        <v>1</v>
      </c>
      <c r="AO880" s="3">
        <v>2</v>
      </c>
      <c r="AP880" s="3">
        <v>3</v>
      </c>
      <c r="AR880" s="2" t="s">
        <v>1020</v>
      </c>
    </row>
    <row r="881" spans="1:44" ht="12.75" customHeight="1">
      <c r="A881" s="4">
        <f>DATE(74,5,7)</f>
        <v>27156</v>
      </c>
      <c r="C881" s="2" t="s">
        <v>379</v>
      </c>
      <c r="E881" s="18">
        <v>1</v>
      </c>
      <c r="F881" s="18">
        <v>0</v>
      </c>
      <c r="G881" s="18">
        <v>3</v>
      </c>
      <c r="H881" s="18">
        <v>0</v>
      </c>
      <c r="I881" s="18">
        <v>0</v>
      </c>
      <c r="J881" s="18">
        <v>3</v>
      </c>
      <c r="K881" s="18" t="s">
        <v>162</v>
      </c>
      <c r="T881" s="3">
        <v>7</v>
      </c>
      <c r="U881" s="3">
        <v>9</v>
      </c>
      <c r="V881" s="3">
        <v>4</v>
      </c>
      <c r="X881" s="2" t="s">
        <v>1021</v>
      </c>
      <c r="Y881" s="18">
        <v>0</v>
      </c>
      <c r="Z881" s="18">
        <v>0</v>
      </c>
      <c r="AA881" s="18">
        <v>1</v>
      </c>
      <c r="AB881" s="18">
        <v>0</v>
      </c>
      <c r="AC881" s="18">
        <v>0</v>
      </c>
      <c r="AD881" s="18">
        <v>0</v>
      </c>
      <c r="AE881" s="18">
        <v>1</v>
      </c>
      <c r="AN881" s="3">
        <v>2</v>
      </c>
      <c r="AO881" s="3">
        <v>9</v>
      </c>
      <c r="AP881" s="3">
        <v>4</v>
      </c>
      <c r="AR881" s="2" t="s">
        <v>1030</v>
      </c>
    </row>
    <row r="882" spans="1:44" ht="12.75" customHeight="1">
      <c r="A882" s="4">
        <f>DATE(75,4,16)</f>
        <v>27500</v>
      </c>
      <c r="B882" s="2" t="s">
        <v>152</v>
      </c>
      <c r="C882" s="2" t="s">
        <v>379</v>
      </c>
      <c r="E882" s="18">
        <v>0</v>
      </c>
      <c r="F882" s="18">
        <v>0</v>
      </c>
      <c r="G882" s="18">
        <v>0</v>
      </c>
      <c r="H882" s="18">
        <v>0</v>
      </c>
      <c r="I882" s="18">
        <v>1</v>
      </c>
      <c r="J882" s="18">
        <v>0</v>
      </c>
      <c r="K882" s="18">
        <v>0</v>
      </c>
      <c r="T882" s="3">
        <v>1</v>
      </c>
      <c r="U882" s="3">
        <v>4</v>
      </c>
      <c r="V882" s="3">
        <v>1</v>
      </c>
      <c r="X882" s="2" t="s">
        <v>1043</v>
      </c>
      <c r="Y882" s="18">
        <v>0</v>
      </c>
      <c r="Z882" s="18">
        <v>0</v>
      </c>
      <c r="AA882" s="18">
        <v>0</v>
      </c>
      <c r="AB882" s="18">
        <v>0</v>
      </c>
      <c r="AC882" s="18">
        <v>2</v>
      </c>
      <c r="AD882" s="18">
        <v>0</v>
      </c>
      <c r="AE882" s="18" t="s">
        <v>162</v>
      </c>
      <c r="AN882" s="3">
        <v>2</v>
      </c>
      <c r="AO882" s="3">
        <v>5</v>
      </c>
      <c r="AP882" s="3">
        <v>2</v>
      </c>
      <c r="AR882" s="2" t="s">
        <v>1044</v>
      </c>
    </row>
    <row r="883" spans="1:44" ht="12.75" customHeight="1">
      <c r="A883" s="4">
        <f>DATE(75,5,8)</f>
        <v>27522</v>
      </c>
      <c r="C883" s="2" t="s">
        <v>379</v>
      </c>
      <c r="E883" s="18">
        <v>0</v>
      </c>
      <c r="F883" s="18">
        <v>0</v>
      </c>
      <c r="G883" s="18">
        <v>0</v>
      </c>
      <c r="H883" s="18">
        <v>0</v>
      </c>
      <c r="I883" s="18">
        <v>0</v>
      </c>
      <c r="J883" s="18">
        <v>4</v>
      </c>
      <c r="K883" s="18" t="s">
        <v>162</v>
      </c>
      <c r="T883" s="3">
        <v>4</v>
      </c>
      <c r="U883" s="3">
        <v>6</v>
      </c>
      <c r="V883" s="3">
        <v>1</v>
      </c>
      <c r="X883" s="2" t="s">
        <v>1032</v>
      </c>
      <c r="Y883" s="18">
        <v>1</v>
      </c>
      <c r="Z883" s="18">
        <v>0</v>
      </c>
      <c r="AA883" s="18">
        <v>1</v>
      </c>
      <c r="AB883" s="18">
        <v>0</v>
      </c>
      <c r="AC883" s="18">
        <v>0</v>
      </c>
      <c r="AD883" s="18">
        <v>0</v>
      </c>
      <c r="AE883" s="18">
        <v>0</v>
      </c>
      <c r="AN883" s="3">
        <v>2</v>
      </c>
      <c r="AO883" s="3">
        <v>3</v>
      </c>
      <c r="AP883" s="3">
        <v>2</v>
      </c>
      <c r="AR883" s="2" t="s">
        <v>1030</v>
      </c>
    </row>
    <row r="884" spans="1:44" ht="12.75" customHeight="1">
      <c r="A884" s="4">
        <f>DATE(76,4,15)</f>
        <v>27865</v>
      </c>
      <c r="B884" s="2" t="s">
        <v>152</v>
      </c>
      <c r="C884" s="2" t="s">
        <v>379</v>
      </c>
      <c r="E884" s="18">
        <v>0</v>
      </c>
      <c r="F884" s="18">
        <v>1</v>
      </c>
      <c r="G884" s="18">
        <v>1</v>
      </c>
      <c r="H884" s="18">
        <v>5</v>
      </c>
      <c r="I884" s="18">
        <v>0</v>
      </c>
      <c r="J884" s="18">
        <v>2</v>
      </c>
      <c r="K884" s="18">
        <v>0</v>
      </c>
      <c r="T884" s="3">
        <v>9</v>
      </c>
      <c r="U884" s="3">
        <v>9</v>
      </c>
      <c r="V884" s="3">
        <v>5</v>
      </c>
      <c r="X884" s="2" t="s">
        <v>1073</v>
      </c>
      <c r="Y884" s="18">
        <v>2</v>
      </c>
      <c r="Z884" s="18">
        <v>0</v>
      </c>
      <c r="AA884" s="18">
        <v>2</v>
      </c>
      <c r="AB884" s="18">
        <v>1</v>
      </c>
      <c r="AC884" s="18">
        <v>2</v>
      </c>
      <c r="AD884" s="18">
        <v>4</v>
      </c>
      <c r="AE884" s="18" t="s">
        <v>162</v>
      </c>
      <c r="AN884" s="3">
        <v>11</v>
      </c>
      <c r="AO884" s="3">
        <v>7</v>
      </c>
      <c r="AP884" s="3">
        <v>2</v>
      </c>
      <c r="AR884" s="2" t="s">
        <v>1074</v>
      </c>
    </row>
    <row r="885" spans="1:44" ht="12.75" customHeight="1">
      <c r="A885" s="4">
        <f>DATE(76,5,12)</f>
        <v>27892</v>
      </c>
      <c r="C885" s="2" t="s">
        <v>379</v>
      </c>
      <c r="E885" s="18">
        <v>1</v>
      </c>
      <c r="F885" s="18">
        <v>0</v>
      </c>
      <c r="G885" s="18">
        <v>4</v>
      </c>
      <c r="H885" s="18">
        <v>2</v>
      </c>
      <c r="I885" s="18">
        <v>1</v>
      </c>
      <c r="J885" s="18">
        <v>5</v>
      </c>
      <c r="K885" s="18" t="s">
        <v>162</v>
      </c>
      <c r="T885" s="3">
        <v>13</v>
      </c>
      <c r="U885" s="3">
        <v>11</v>
      </c>
      <c r="V885" s="3">
        <v>1</v>
      </c>
      <c r="X885" s="2" t="s">
        <v>1064</v>
      </c>
      <c r="Y885" s="18">
        <v>0</v>
      </c>
      <c r="Z885" s="18">
        <v>0</v>
      </c>
      <c r="AA885" s="18">
        <v>0</v>
      </c>
      <c r="AB885" s="18">
        <v>1</v>
      </c>
      <c r="AC885" s="18">
        <v>0</v>
      </c>
      <c r="AD885" s="18">
        <v>1</v>
      </c>
      <c r="AE885" s="18">
        <v>0</v>
      </c>
      <c r="AN885" s="3">
        <v>2</v>
      </c>
      <c r="AO885" s="3">
        <v>3</v>
      </c>
      <c r="AP885" s="3">
        <v>5</v>
      </c>
      <c r="AR885" s="2" t="s">
        <v>256</v>
      </c>
    </row>
    <row r="886" spans="1:44" ht="12.75" customHeight="1">
      <c r="A886" s="4">
        <f>DATE(77,4,19)</f>
        <v>28234</v>
      </c>
      <c r="B886" s="2" t="s">
        <v>152</v>
      </c>
      <c r="C886" s="2" t="s">
        <v>379</v>
      </c>
      <c r="E886" s="18">
        <v>2</v>
      </c>
      <c r="F886" s="18">
        <v>0</v>
      </c>
      <c r="G886" s="18">
        <v>2</v>
      </c>
      <c r="H886" s="18">
        <v>1</v>
      </c>
      <c r="I886" s="18">
        <v>0</v>
      </c>
      <c r="J886" s="18">
        <v>0</v>
      </c>
      <c r="K886" s="18">
        <v>0</v>
      </c>
      <c r="T886" s="3">
        <v>5</v>
      </c>
      <c r="U886" s="3">
        <v>8</v>
      </c>
      <c r="V886" s="3">
        <v>2</v>
      </c>
      <c r="X886" s="2" t="s">
        <v>1064</v>
      </c>
      <c r="Y886" s="18">
        <v>0</v>
      </c>
      <c r="Z886" s="18">
        <v>0</v>
      </c>
      <c r="AA886" s="18">
        <v>0</v>
      </c>
      <c r="AB886" s="18">
        <v>2</v>
      </c>
      <c r="AC886" s="18">
        <v>0</v>
      </c>
      <c r="AD886" s="18">
        <v>0</v>
      </c>
      <c r="AE886" s="18">
        <v>0</v>
      </c>
      <c r="AN886" s="3">
        <v>2</v>
      </c>
      <c r="AO886" s="3">
        <v>8</v>
      </c>
      <c r="AP886" s="3">
        <v>1</v>
      </c>
      <c r="AR886" s="2" t="s">
        <v>1106</v>
      </c>
    </row>
    <row r="887" spans="1:44" ht="12.75" customHeight="1">
      <c r="A887" s="4">
        <f>DATE(77,5,12)</f>
        <v>28257</v>
      </c>
      <c r="C887" s="2" t="s">
        <v>379</v>
      </c>
      <c r="E887" s="18">
        <v>1</v>
      </c>
      <c r="F887" s="18">
        <v>0</v>
      </c>
      <c r="G887" s="18">
        <v>0</v>
      </c>
      <c r="H887" s="18">
        <v>3</v>
      </c>
      <c r="I887" s="18">
        <v>0</v>
      </c>
      <c r="J887" s="18">
        <v>0</v>
      </c>
      <c r="K887" s="18" t="s">
        <v>162</v>
      </c>
      <c r="T887" s="3">
        <v>4</v>
      </c>
      <c r="U887" s="3">
        <v>5</v>
      </c>
      <c r="V887" s="3">
        <v>2</v>
      </c>
      <c r="X887" s="2" t="s">
        <v>1086</v>
      </c>
      <c r="Y887" s="18">
        <v>0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  <c r="AE887" s="18">
        <v>0</v>
      </c>
      <c r="AN887" s="3">
        <v>0</v>
      </c>
      <c r="AO887" s="3">
        <v>4</v>
      </c>
      <c r="AP887" s="3">
        <v>2</v>
      </c>
      <c r="AR887" s="2" t="s">
        <v>1133</v>
      </c>
    </row>
    <row r="888" spans="1:44" ht="12.75" customHeight="1">
      <c r="A888" s="4">
        <f>DATE(78,5,1)</f>
        <v>28611</v>
      </c>
      <c r="B888" s="2" t="s">
        <v>152</v>
      </c>
      <c r="C888" s="2" t="s">
        <v>379</v>
      </c>
      <c r="E888" s="18">
        <v>0</v>
      </c>
      <c r="F888" s="18">
        <v>1</v>
      </c>
      <c r="G888" s="18">
        <v>0</v>
      </c>
      <c r="H888" s="18">
        <v>6</v>
      </c>
      <c r="I888" s="18">
        <v>0</v>
      </c>
      <c r="J888" s="18">
        <v>0</v>
      </c>
      <c r="K888" s="18">
        <v>1</v>
      </c>
      <c r="L888" s="18">
        <v>3</v>
      </c>
      <c r="T888" s="3">
        <v>11</v>
      </c>
      <c r="U888" s="3">
        <v>8</v>
      </c>
      <c r="V888" s="3">
        <v>3</v>
      </c>
      <c r="X888" s="2" t="s">
        <v>1173</v>
      </c>
      <c r="Y888" s="18">
        <v>0</v>
      </c>
      <c r="Z888" s="18">
        <v>0</v>
      </c>
      <c r="AA888" s="18">
        <v>0</v>
      </c>
      <c r="AB888" s="18">
        <v>3</v>
      </c>
      <c r="AC888" s="18">
        <v>1</v>
      </c>
      <c r="AD888" s="18">
        <v>4</v>
      </c>
      <c r="AE888" s="18">
        <v>0</v>
      </c>
      <c r="AF888" s="18">
        <v>0</v>
      </c>
      <c r="AN888" s="3">
        <v>8</v>
      </c>
      <c r="AO888" s="3">
        <v>7</v>
      </c>
      <c r="AP888" s="3">
        <v>2</v>
      </c>
      <c r="AR888" s="2" t="s">
        <v>1174</v>
      </c>
    </row>
    <row r="889" spans="1:44" ht="12.75" customHeight="1">
      <c r="A889" s="4">
        <f>DATE(78,5,19)</f>
        <v>28629</v>
      </c>
      <c r="C889" s="2" t="s">
        <v>379</v>
      </c>
      <c r="E889" s="18">
        <v>5</v>
      </c>
      <c r="F889" s="18">
        <v>2</v>
      </c>
      <c r="G889" s="18">
        <v>3</v>
      </c>
      <c r="H889" s="18">
        <v>0</v>
      </c>
      <c r="I889" s="18" t="s">
        <v>162</v>
      </c>
      <c r="T889" s="3">
        <v>10</v>
      </c>
      <c r="U889" s="3">
        <v>11</v>
      </c>
      <c r="V889" s="3">
        <v>0</v>
      </c>
      <c r="X889" s="2" t="s">
        <v>1140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  <c r="AN889" s="3">
        <v>0</v>
      </c>
      <c r="AO889" s="3">
        <v>3</v>
      </c>
      <c r="AP889" s="3">
        <v>4</v>
      </c>
      <c r="AR889" s="2" t="s">
        <v>268</v>
      </c>
    </row>
    <row r="890" spans="1:44" ht="12.75" customHeight="1">
      <c r="A890" s="4">
        <f>DATE(79,4,24)</f>
        <v>28969</v>
      </c>
      <c r="B890" s="2" t="s">
        <v>152</v>
      </c>
      <c r="C890" s="2" t="s">
        <v>379</v>
      </c>
      <c r="E890" s="18">
        <v>1</v>
      </c>
      <c r="F890" s="18">
        <v>0</v>
      </c>
      <c r="G890" s="18">
        <v>0</v>
      </c>
      <c r="H890" s="18">
        <v>2</v>
      </c>
      <c r="I890" s="18">
        <v>0</v>
      </c>
      <c r="J890" s="18">
        <v>3</v>
      </c>
      <c r="K890" s="18">
        <v>0</v>
      </c>
      <c r="T890" s="3">
        <v>6</v>
      </c>
      <c r="U890" s="3">
        <v>11</v>
      </c>
      <c r="V890" s="3">
        <v>1</v>
      </c>
      <c r="X890" s="2" t="s">
        <v>1070</v>
      </c>
      <c r="Y890" s="18">
        <v>0</v>
      </c>
      <c r="Z890" s="18">
        <v>0</v>
      </c>
      <c r="AA890" s="18">
        <v>0</v>
      </c>
      <c r="AB890" s="18">
        <v>1</v>
      </c>
      <c r="AC890" s="18">
        <v>0</v>
      </c>
      <c r="AD890" s="18">
        <v>1</v>
      </c>
      <c r="AE890" s="18">
        <v>0</v>
      </c>
      <c r="AN890" s="3">
        <v>2</v>
      </c>
      <c r="AO890" s="3">
        <v>4</v>
      </c>
      <c r="AP890" s="3">
        <v>0</v>
      </c>
      <c r="AR890" s="2" t="s">
        <v>1207</v>
      </c>
    </row>
    <row r="891" spans="1:44" ht="12.75" customHeight="1">
      <c r="A891" s="4">
        <f>DATE(79,5,17)</f>
        <v>28992</v>
      </c>
      <c r="C891" s="2" t="s">
        <v>379</v>
      </c>
      <c r="E891" s="18">
        <v>3</v>
      </c>
      <c r="F891" s="18">
        <v>3</v>
      </c>
      <c r="G891" s="18">
        <v>8</v>
      </c>
      <c r="H891" s="18">
        <v>2</v>
      </c>
      <c r="I891" s="18" t="s">
        <v>158</v>
      </c>
      <c r="T891" s="3">
        <v>16</v>
      </c>
      <c r="U891" s="3">
        <v>15</v>
      </c>
      <c r="V891" s="3">
        <v>2</v>
      </c>
      <c r="X891" s="2" t="s">
        <v>1213</v>
      </c>
      <c r="Y891" s="18">
        <v>0</v>
      </c>
      <c r="Z891" s="18">
        <v>0</v>
      </c>
      <c r="AA891" s="18">
        <v>0</v>
      </c>
      <c r="AB891" s="18">
        <v>0</v>
      </c>
      <c r="AC891" s="18">
        <v>4</v>
      </c>
      <c r="AN891" s="3">
        <v>4</v>
      </c>
      <c r="AO891" s="3">
        <v>3</v>
      </c>
      <c r="AP891" s="3">
        <v>4</v>
      </c>
      <c r="AR891" s="2" t="s">
        <v>278</v>
      </c>
    </row>
    <row r="892" spans="1:44" ht="12.75" customHeight="1">
      <c r="A892" s="4">
        <f>DATE(80,5,1)</f>
        <v>29342</v>
      </c>
      <c r="B892" s="2" t="s">
        <v>152</v>
      </c>
      <c r="C892" s="2" t="s">
        <v>379</v>
      </c>
      <c r="E892" s="18">
        <v>0</v>
      </c>
      <c r="F892" s="18">
        <v>0</v>
      </c>
      <c r="G892" s="18">
        <v>0</v>
      </c>
      <c r="H892" s="18">
        <v>0</v>
      </c>
      <c r="I892" s="18">
        <v>1</v>
      </c>
      <c r="J892" s="18">
        <v>1</v>
      </c>
      <c r="K892" s="18">
        <v>0</v>
      </c>
      <c r="T892" s="3">
        <v>2</v>
      </c>
      <c r="U892" s="3">
        <v>5</v>
      </c>
      <c r="V892" s="3">
        <v>3</v>
      </c>
      <c r="X892" s="2" t="s">
        <v>1292</v>
      </c>
      <c r="Y892" s="18">
        <v>2</v>
      </c>
      <c r="Z892" s="18">
        <v>0</v>
      </c>
      <c r="AA892" s="18">
        <v>1</v>
      </c>
      <c r="AB892" s="18">
        <v>0</v>
      </c>
      <c r="AC892" s="18">
        <v>1</v>
      </c>
      <c r="AD892" s="18">
        <v>0</v>
      </c>
      <c r="AE892" s="18" t="s">
        <v>162</v>
      </c>
      <c r="AN892" s="3">
        <v>4</v>
      </c>
      <c r="AO892" s="3">
        <v>9</v>
      </c>
      <c r="AP892" s="3">
        <v>1</v>
      </c>
      <c r="AR892" s="2" t="s">
        <v>1293</v>
      </c>
    </row>
    <row r="893" spans="1:44" ht="12.75" customHeight="1">
      <c r="A893" s="4">
        <f>DATE(81,4,15)</f>
        <v>29691</v>
      </c>
      <c r="C893" s="2" t="s">
        <v>379</v>
      </c>
      <c r="E893" s="18">
        <v>0</v>
      </c>
      <c r="F893" s="18">
        <v>1</v>
      </c>
      <c r="G893" s="18">
        <v>0</v>
      </c>
      <c r="H893" s="18">
        <v>0</v>
      </c>
      <c r="I893" s="18">
        <v>0</v>
      </c>
      <c r="J893" s="18">
        <v>1</v>
      </c>
      <c r="K893" s="18">
        <v>0</v>
      </c>
      <c r="T893" s="3">
        <v>2</v>
      </c>
      <c r="U893" s="3">
        <v>6</v>
      </c>
      <c r="V893" s="3">
        <v>3</v>
      </c>
      <c r="X893" s="2" t="s">
        <v>1331</v>
      </c>
      <c r="Y893" s="18">
        <v>0</v>
      </c>
      <c r="Z893" s="18">
        <v>0</v>
      </c>
      <c r="AA893" s="18">
        <v>3</v>
      </c>
      <c r="AB893" s="18">
        <v>1</v>
      </c>
      <c r="AC893" s="18">
        <v>1</v>
      </c>
      <c r="AD893" s="18">
        <v>0</v>
      </c>
      <c r="AE893" s="18">
        <v>1</v>
      </c>
      <c r="AN893" s="3">
        <v>6</v>
      </c>
      <c r="AO893" s="3">
        <v>6</v>
      </c>
      <c r="AP893" s="3">
        <v>5</v>
      </c>
      <c r="AR893" s="2" t="s">
        <v>1332</v>
      </c>
    </row>
    <row r="894" spans="1:44" ht="12.75" customHeight="1">
      <c r="A894" s="4">
        <f>DATE(81,5,5)</f>
        <v>29711</v>
      </c>
      <c r="B894" s="2" t="s">
        <v>152</v>
      </c>
      <c r="C894" s="2" t="s">
        <v>379</v>
      </c>
      <c r="E894" s="18">
        <v>4</v>
      </c>
      <c r="F894" s="18">
        <v>5</v>
      </c>
      <c r="G894" s="18">
        <v>6</v>
      </c>
      <c r="H894" s="18">
        <v>0</v>
      </c>
      <c r="I894" s="18">
        <v>7</v>
      </c>
      <c r="T894" s="3">
        <v>22</v>
      </c>
      <c r="U894" s="3">
        <v>20</v>
      </c>
      <c r="V894" s="3">
        <v>1</v>
      </c>
      <c r="X894" s="2" t="s">
        <v>1296</v>
      </c>
      <c r="Y894" s="18">
        <v>1</v>
      </c>
      <c r="Z894" s="18">
        <v>0</v>
      </c>
      <c r="AA894" s="18">
        <v>0</v>
      </c>
      <c r="AB894" s="18">
        <v>2</v>
      </c>
      <c r="AC894" s="18">
        <v>0</v>
      </c>
      <c r="AN894" s="3">
        <v>3</v>
      </c>
      <c r="AO894" s="3">
        <v>2</v>
      </c>
      <c r="AP894" s="3">
        <v>4</v>
      </c>
      <c r="AR894" s="2" t="s">
        <v>1345</v>
      </c>
    </row>
    <row r="895" spans="1:44" ht="12.75" customHeight="1">
      <c r="A895" s="4">
        <f>DATE(82,4,13)</f>
        <v>30054</v>
      </c>
      <c r="C895" s="2" t="s">
        <v>379</v>
      </c>
      <c r="E895" s="18">
        <v>0</v>
      </c>
      <c r="F895" s="18">
        <v>0</v>
      </c>
      <c r="G895" s="18">
        <v>0</v>
      </c>
      <c r="H895" s="18">
        <v>0</v>
      </c>
      <c r="I895" s="18">
        <v>2</v>
      </c>
      <c r="T895" s="3">
        <v>2</v>
      </c>
      <c r="U895" s="3">
        <v>6</v>
      </c>
      <c r="V895" s="3">
        <v>3</v>
      </c>
      <c r="X895" s="2" t="s">
        <v>1334</v>
      </c>
      <c r="Y895" s="18">
        <v>2</v>
      </c>
      <c r="Z895" s="18">
        <v>0</v>
      </c>
      <c r="AA895" s="18">
        <v>1</v>
      </c>
      <c r="AB895" s="18">
        <v>0</v>
      </c>
      <c r="AC895" s="18">
        <v>1</v>
      </c>
      <c r="AN895" s="3">
        <v>4</v>
      </c>
      <c r="AO895" s="3">
        <v>4</v>
      </c>
      <c r="AP895" s="3">
        <v>1</v>
      </c>
      <c r="AR895" s="2" t="s">
        <v>1370</v>
      </c>
    </row>
    <row r="896" spans="1:44" ht="12.75" customHeight="1">
      <c r="A896" s="4">
        <f>DATE(82,5,6)</f>
        <v>30077</v>
      </c>
      <c r="B896" s="2" t="s">
        <v>152</v>
      </c>
      <c r="C896" s="2" t="s">
        <v>379</v>
      </c>
      <c r="E896" s="18">
        <v>3</v>
      </c>
      <c r="F896" s="18">
        <v>3</v>
      </c>
      <c r="G896" s="18">
        <v>0</v>
      </c>
      <c r="H896" s="18">
        <v>8</v>
      </c>
      <c r="I896" s="18">
        <v>4</v>
      </c>
      <c r="T896" s="3">
        <v>18</v>
      </c>
      <c r="U896" s="3">
        <v>19</v>
      </c>
      <c r="V896" s="3">
        <v>0</v>
      </c>
      <c r="X896" s="2" t="s">
        <v>1369</v>
      </c>
      <c r="Y896" s="18">
        <v>0</v>
      </c>
      <c r="Z896" s="18">
        <v>0</v>
      </c>
      <c r="AA896" s="18">
        <v>0</v>
      </c>
      <c r="AB896" s="18">
        <v>0</v>
      </c>
      <c r="AC896" s="18">
        <v>0</v>
      </c>
      <c r="AN896" s="3">
        <v>0</v>
      </c>
      <c r="AO896" s="3">
        <v>2</v>
      </c>
      <c r="AP896" s="3">
        <v>5</v>
      </c>
      <c r="AR896" s="2" t="s">
        <v>1387</v>
      </c>
    </row>
    <row r="897" spans="1:44" ht="12.75" customHeight="1">
      <c r="A897" s="4">
        <f>DATE(83,4,14)</f>
        <v>30420</v>
      </c>
      <c r="C897" s="2" t="s">
        <v>379</v>
      </c>
      <c r="E897" s="18">
        <v>2</v>
      </c>
      <c r="F897" s="18">
        <v>0</v>
      </c>
      <c r="G897" s="18">
        <v>1</v>
      </c>
      <c r="H897" s="18">
        <v>2</v>
      </c>
      <c r="I897" s="18">
        <v>2</v>
      </c>
      <c r="J897" s="18">
        <v>0</v>
      </c>
      <c r="K897" s="18" t="s">
        <v>162</v>
      </c>
      <c r="T897" s="3">
        <v>7</v>
      </c>
      <c r="U897" s="3">
        <v>9</v>
      </c>
      <c r="V897" s="3">
        <v>4</v>
      </c>
      <c r="X897" s="2" t="s">
        <v>1399</v>
      </c>
      <c r="Y897" s="18">
        <v>0</v>
      </c>
      <c r="Z897" s="18">
        <v>0</v>
      </c>
      <c r="AA897" s="18">
        <v>0</v>
      </c>
      <c r="AB897" s="18">
        <v>1</v>
      </c>
      <c r="AC897" s="18">
        <v>0</v>
      </c>
      <c r="AD897" s="18">
        <v>0</v>
      </c>
      <c r="AE897" s="18">
        <v>3</v>
      </c>
      <c r="AN897" s="3">
        <v>4</v>
      </c>
      <c r="AO897" s="3">
        <v>8</v>
      </c>
      <c r="AP897" s="3">
        <v>1</v>
      </c>
      <c r="AR897" s="2" t="s">
        <v>1404</v>
      </c>
    </row>
    <row r="898" spans="1:44" ht="12.75" customHeight="1">
      <c r="A898" s="4">
        <f>DATE(83,5,10)</f>
        <v>30446</v>
      </c>
      <c r="B898" s="2" t="s">
        <v>152</v>
      </c>
      <c r="C898" s="2" t="s">
        <v>379</v>
      </c>
      <c r="E898" s="18">
        <v>0</v>
      </c>
      <c r="F898" s="18">
        <v>0</v>
      </c>
      <c r="G898" s="18">
        <v>0</v>
      </c>
      <c r="H898" s="18">
        <v>2</v>
      </c>
      <c r="I898" s="18">
        <v>2</v>
      </c>
      <c r="J898" s="18">
        <v>3</v>
      </c>
      <c r="K898" s="18">
        <v>2</v>
      </c>
      <c r="T898" s="3">
        <v>9</v>
      </c>
      <c r="U898" s="3">
        <v>6</v>
      </c>
      <c r="V898" s="3">
        <v>3</v>
      </c>
      <c r="X898" s="2" t="s">
        <v>1432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7</v>
      </c>
      <c r="AE898" s="18">
        <v>0</v>
      </c>
      <c r="AN898" s="3">
        <v>7</v>
      </c>
      <c r="AO898" s="3">
        <v>8</v>
      </c>
      <c r="AP898" s="3">
        <v>5</v>
      </c>
      <c r="AR898" s="2" t="s">
        <v>1433</v>
      </c>
    </row>
    <row r="899" spans="1:44" ht="12.75" customHeight="1">
      <c r="A899" s="4">
        <f>DATE(84,4,30)</f>
        <v>30802</v>
      </c>
      <c r="C899" s="2" t="s">
        <v>379</v>
      </c>
      <c r="E899" s="18">
        <v>5</v>
      </c>
      <c r="F899" s="18">
        <v>1</v>
      </c>
      <c r="G899" s="18">
        <v>5</v>
      </c>
      <c r="H899" s="18">
        <v>2</v>
      </c>
      <c r="I899" s="18">
        <v>0</v>
      </c>
      <c r="T899" s="3">
        <v>13</v>
      </c>
      <c r="U899" s="3">
        <v>9</v>
      </c>
      <c r="V899" s="3">
        <v>3</v>
      </c>
      <c r="X899" s="2" t="s">
        <v>1465</v>
      </c>
      <c r="Y899" s="18">
        <v>2</v>
      </c>
      <c r="Z899" s="18">
        <v>0</v>
      </c>
      <c r="AA899" s="18">
        <v>0</v>
      </c>
      <c r="AB899" s="18">
        <v>0</v>
      </c>
      <c r="AC899" s="18">
        <v>1</v>
      </c>
      <c r="AN899" s="3">
        <v>3</v>
      </c>
      <c r="AO899" s="3">
        <v>4</v>
      </c>
      <c r="AP899" s="3">
        <v>5</v>
      </c>
      <c r="AR899" s="2" t="s">
        <v>1466</v>
      </c>
    </row>
    <row r="900" spans="1:44" ht="12.75" customHeight="1">
      <c r="A900" s="4">
        <f>DATE(84,5,10)</f>
        <v>30812</v>
      </c>
      <c r="B900" s="2" t="s">
        <v>152</v>
      </c>
      <c r="C900" s="2" t="s">
        <v>379</v>
      </c>
      <c r="E900" s="18">
        <v>4</v>
      </c>
      <c r="F900" s="18">
        <v>0</v>
      </c>
      <c r="G900" s="18">
        <v>3</v>
      </c>
      <c r="H900" s="18">
        <v>1</v>
      </c>
      <c r="I900" s="18">
        <v>1</v>
      </c>
      <c r="J900" s="18">
        <v>2</v>
      </c>
      <c r="K900" s="18">
        <v>0</v>
      </c>
      <c r="T900" s="3">
        <v>11</v>
      </c>
      <c r="U900" s="3">
        <v>15</v>
      </c>
      <c r="V900" s="3">
        <v>3</v>
      </c>
      <c r="X900" s="2" t="s">
        <v>1457</v>
      </c>
      <c r="Y900" s="18">
        <v>0</v>
      </c>
      <c r="Z900" s="18">
        <v>0</v>
      </c>
      <c r="AA900" s="18">
        <v>0</v>
      </c>
      <c r="AB900" s="18">
        <v>0</v>
      </c>
      <c r="AC900" s="18">
        <v>2</v>
      </c>
      <c r="AD900" s="18">
        <v>0</v>
      </c>
      <c r="AE900" s="18">
        <v>0</v>
      </c>
      <c r="AN900" s="3">
        <v>2</v>
      </c>
      <c r="AO900" s="3">
        <v>5</v>
      </c>
      <c r="AP900" s="3">
        <v>2</v>
      </c>
      <c r="AR900" s="2" t="s">
        <v>321</v>
      </c>
    </row>
    <row r="901" spans="1:44" ht="12.75" customHeight="1">
      <c r="A901" s="4">
        <f>DATE(85,4,23)</f>
        <v>31160</v>
      </c>
      <c r="C901" s="2" t="s">
        <v>379</v>
      </c>
      <c r="E901" s="18">
        <v>0</v>
      </c>
      <c r="F901" s="18">
        <v>0</v>
      </c>
      <c r="G901" s="18">
        <v>2</v>
      </c>
      <c r="H901" s="18">
        <v>2</v>
      </c>
      <c r="I901" s="18">
        <v>1</v>
      </c>
      <c r="J901" s="18">
        <v>1</v>
      </c>
      <c r="K901" s="18" t="s">
        <v>162</v>
      </c>
      <c r="T901" s="3">
        <v>6</v>
      </c>
      <c r="U901" s="3">
        <v>7</v>
      </c>
      <c r="V901" s="3">
        <v>0</v>
      </c>
      <c r="X901" s="2" t="s">
        <v>1457</v>
      </c>
      <c r="Y901" s="18">
        <v>0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  <c r="AE901" s="18">
        <v>0</v>
      </c>
      <c r="AN901" s="3">
        <v>0</v>
      </c>
      <c r="AO901" s="3">
        <v>2</v>
      </c>
      <c r="AP901" s="3">
        <v>1</v>
      </c>
      <c r="AR901" s="2" t="s">
        <v>1496</v>
      </c>
    </row>
    <row r="902" spans="1:44" ht="12.75" customHeight="1">
      <c r="A902" s="4">
        <f>DATE(85,5,20)</f>
        <v>31187</v>
      </c>
      <c r="B902" s="2" t="s">
        <v>152</v>
      </c>
      <c r="C902" s="2" t="s">
        <v>379</v>
      </c>
      <c r="E902" s="18">
        <v>1</v>
      </c>
      <c r="F902" s="18">
        <v>0</v>
      </c>
      <c r="G902" s="18">
        <v>3</v>
      </c>
      <c r="H902" s="18">
        <v>5</v>
      </c>
      <c r="I902" s="18">
        <v>6</v>
      </c>
      <c r="T902" s="3">
        <v>15</v>
      </c>
      <c r="U902" s="3">
        <v>16</v>
      </c>
      <c r="V902" s="3">
        <v>4</v>
      </c>
      <c r="X902" s="2" t="s">
        <v>1513</v>
      </c>
      <c r="Y902" s="18">
        <v>2</v>
      </c>
      <c r="Z902" s="18">
        <v>1</v>
      </c>
      <c r="AA902" s="18">
        <v>1</v>
      </c>
      <c r="AB902" s="18">
        <v>0</v>
      </c>
      <c r="AC902" s="18">
        <v>0</v>
      </c>
      <c r="AN902" s="3">
        <v>4</v>
      </c>
      <c r="AO902" s="3">
        <v>4</v>
      </c>
      <c r="AP902" s="3">
        <v>5</v>
      </c>
      <c r="AR902" s="2" t="s">
        <v>1514</v>
      </c>
    </row>
    <row r="903" spans="1:44" ht="12.75" customHeight="1">
      <c r="A903" s="4">
        <f>DATE(86,4,25)</f>
        <v>31527</v>
      </c>
      <c r="C903" s="2" t="s">
        <v>379</v>
      </c>
      <c r="E903" s="18">
        <v>1</v>
      </c>
      <c r="F903" s="18">
        <v>1</v>
      </c>
      <c r="G903" s="18">
        <v>2</v>
      </c>
      <c r="H903" s="18">
        <v>1</v>
      </c>
      <c r="I903" s="18">
        <v>0</v>
      </c>
      <c r="J903" s="18">
        <v>0</v>
      </c>
      <c r="K903" s="18" t="s">
        <v>162</v>
      </c>
      <c r="T903" s="3">
        <v>5</v>
      </c>
      <c r="U903" s="3">
        <v>9</v>
      </c>
      <c r="V903" s="3">
        <v>2</v>
      </c>
      <c r="X903" s="2" t="s">
        <v>1519</v>
      </c>
      <c r="Y903" s="18">
        <v>0</v>
      </c>
      <c r="Z903" s="18">
        <v>0</v>
      </c>
      <c r="AA903" s="18">
        <v>1</v>
      </c>
      <c r="AB903" s="18">
        <v>2</v>
      </c>
      <c r="AC903" s="18">
        <v>0</v>
      </c>
      <c r="AD903" s="18">
        <v>0</v>
      </c>
      <c r="AE903" s="18">
        <v>0</v>
      </c>
      <c r="AN903" s="3">
        <v>3</v>
      </c>
      <c r="AO903" s="3">
        <v>8</v>
      </c>
      <c r="AP903" s="3">
        <v>1</v>
      </c>
      <c r="AR903" s="2" t="s">
        <v>1535</v>
      </c>
    </row>
    <row r="904" spans="1:44" ht="12.75" customHeight="1">
      <c r="A904" s="4">
        <f>DATE(86,5,15)</f>
        <v>31547</v>
      </c>
      <c r="B904" s="2" t="s">
        <v>152</v>
      </c>
      <c r="C904" s="2" t="s">
        <v>379</v>
      </c>
      <c r="E904" s="18">
        <v>0</v>
      </c>
      <c r="F904" s="18">
        <v>0</v>
      </c>
      <c r="G904" s="18">
        <v>1</v>
      </c>
      <c r="H904" s="18">
        <v>0</v>
      </c>
      <c r="I904" s="18">
        <v>0</v>
      </c>
      <c r="J904" s="18">
        <v>1</v>
      </c>
      <c r="K904" s="18">
        <v>1</v>
      </c>
      <c r="T904" s="3">
        <v>3</v>
      </c>
      <c r="U904" s="3">
        <v>12</v>
      </c>
      <c r="V904" s="3">
        <v>2</v>
      </c>
      <c r="X904" s="2" t="s">
        <v>1528</v>
      </c>
      <c r="Y904" s="18">
        <v>0</v>
      </c>
      <c r="Z904" s="18">
        <v>0</v>
      </c>
      <c r="AA904" s="18">
        <v>0</v>
      </c>
      <c r="AB904" s="18">
        <v>0</v>
      </c>
      <c r="AC904" s="18">
        <v>0</v>
      </c>
      <c r="AD904" s="18">
        <v>4</v>
      </c>
      <c r="AE904" s="18" t="s">
        <v>162</v>
      </c>
      <c r="AN904" s="3">
        <v>4</v>
      </c>
      <c r="AO904" s="3">
        <v>3</v>
      </c>
      <c r="AP904" s="3">
        <v>0</v>
      </c>
      <c r="AR904" s="2" t="s">
        <v>1546</v>
      </c>
    </row>
    <row r="905" spans="1:44" ht="12.75" customHeight="1">
      <c r="A905" s="4">
        <f>DATE(87,4,8)</f>
        <v>31875</v>
      </c>
      <c r="C905" s="2" t="s">
        <v>379</v>
      </c>
      <c r="E905" s="18">
        <v>6</v>
      </c>
      <c r="F905" s="18">
        <v>1</v>
      </c>
      <c r="G905" s="18">
        <v>2</v>
      </c>
      <c r="H905" s="18">
        <v>0</v>
      </c>
      <c r="I905" s="18">
        <v>2</v>
      </c>
      <c r="T905" s="3">
        <v>11</v>
      </c>
      <c r="U905" s="3">
        <v>8</v>
      </c>
      <c r="V905" s="3">
        <v>0</v>
      </c>
      <c r="X905" s="2" t="s">
        <v>1561</v>
      </c>
      <c r="Y905" s="18">
        <v>1</v>
      </c>
      <c r="Z905" s="18">
        <v>0</v>
      </c>
      <c r="AA905" s="18">
        <v>0</v>
      </c>
      <c r="AB905" s="18">
        <v>0</v>
      </c>
      <c r="AC905" s="18">
        <v>0</v>
      </c>
      <c r="AN905" s="3">
        <v>1</v>
      </c>
      <c r="AO905" s="3">
        <v>5</v>
      </c>
      <c r="AP905" s="3">
        <v>3</v>
      </c>
      <c r="AR905" s="2" t="s">
        <v>1562</v>
      </c>
    </row>
    <row r="906" spans="1:44" ht="12.75" customHeight="1">
      <c r="A906" s="4">
        <f>DATE(87,4,23)</f>
        <v>31890</v>
      </c>
      <c r="B906" s="2" t="s">
        <v>152</v>
      </c>
      <c r="C906" s="2" t="s">
        <v>379</v>
      </c>
      <c r="E906" s="18">
        <v>1</v>
      </c>
      <c r="F906" s="18">
        <v>0</v>
      </c>
      <c r="G906" s="18">
        <v>0</v>
      </c>
      <c r="H906" s="18">
        <v>0</v>
      </c>
      <c r="I906" s="18">
        <v>4</v>
      </c>
      <c r="J906" s="18">
        <v>0</v>
      </c>
      <c r="K906" s="18">
        <v>0</v>
      </c>
      <c r="T906" s="3">
        <v>5</v>
      </c>
      <c r="U906" s="3">
        <v>5</v>
      </c>
      <c r="V906" s="3">
        <v>3</v>
      </c>
      <c r="X906" s="2" t="s">
        <v>1576</v>
      </c>
      <c r="Y906" s="18">
        <v>5</v>
      </c>
      <c r="Z906" s="18">
        <v>0</v>
      </c>
      <c r="AA906" s="18">
        <v>0</v>
      </c>
      <c r="AB906" s="18">
        <v>1</v>
      </c>
      <c r="AC906" s="18">
        <v>0</v>
      </c>
      <c r="AD906" s="18">
        <v>1</v>
      </c>
      <c r="AE906" s="18" t="s">
        <v>162</v>
      </c>
      <c r="AN906" s="3">
        <v>7</v>
      </c>
      <c r="AO906" s="3">
        <v>8</v>
      </c>
      <c r="AP906" s="3">
        <v>2</v>
      </c>
      <c r="AR906" s="2" t="s">
        <v>2386</v>
      </c>
    </row>
    <row r="907" spans="1:44" ht="12.75" customHeight="1">
      <c r="A907" s="4">
        <f>DATE(88,4,11)</f>
        <v>32244</v>
      </c>
      <c r="B907" s="2" t="s">
        <v>152</v>
      </c>
      <c r="C907" s="2" t="s">
        <v>379</v>
      </c>
      <c r="E907" s="18">
        <v>0</v>
      </c>
      <c r="F907" s="18">
        <v>0</v>
      </c>
      <c r="G907" s="18">
        <v>0</v>
      </c>
      <c r="H907" s="18">
        <v>0</v>
      </c>
      <c r="I907" s="18">
        <v>4</v>
      </c>
      <c r="J907" s="18">
        <v>2</v>
      </c>
      <c r="K907" s="18">
        <v>0</v>
      </c>
      <c r="T907" s="3">
        <v>6</v>
      </c>
      <c r="U907" s="3">
        <v>8</v>
      </c>
      <c r="V907" s="3">
        <v>1</v>
      </c>
      <c r="X907" s="2" t="s">
        <v>1603</v>
      </c>
      <c r="Y907" s="18">
        <v>0</v>
      </c>
      <c r="Z907" s="18">
        <v>0</v>
      </c>
      <c r="AA907" s="18">
        <v>2</v>
      </c>
      <c r="AB907" s="18">
        <v>0</v>
      </c>
      <c r="AC907" s="18">
        <v>0</v>
      </c>
      <c r="AD907" s="18">
        <v>0</v>
      </c>
      <c r="AE907" s="18">
        <v>0</v>
      </c>
      <c r="AN907" s="3">
        <v>2</v>
      </c>
      <c r="AO907" s="3">
        <v>8</v>
      </c>
      <c r="AP907" s="3">
        <v>1</v>
      </c>
      <c r="AR907" s="2" t="s">
        <v>1604</v>
      </c>
    </row>
    <row r="908" spans="1:44" ht="12.75" customHeight="1">
      <c r="A908" s="4">
        <f>DATE(88,5,3)</f>
        <v>32266</v>
      </c>
      <c r="C908" s="2" t="s">
        <v>379</v>
      </c>
      <c r="E908" s="18">
        <v>0</v>
      </c>
      <c r="F908" s="18">
        <v>4</v>
      </c>
      <c r="G908" s="18">
        <v>3</v>
      </c>
      <c r="H908" s="18">
        <v>0</v>
      </c>
      <c r="I908" s="18">
        <v>3</v>
      </c>
      <c r="J908" s="18">
        <v>0</v>
      </c>
      <c r="K908" s="18" t="s">
        <v>162</v>
      </c>
      <c r="T908" s="3">
        <v>10</v>
      </c>
      <c r="U908" s="3">
        <v>11</v>
      </c>
      <c r="V908" s="3">
        <v>0</v>
      </c>
      <c r="X908" s="2" t="s">
        <v>1615</v>
      </c>
      <c r="Y908" s="18">
        <v>2</v>
      </c>
      <c r="Z908" s="18">
        <v>0</v>
      </c>
      <c r="AA908" s="18">
        <v>0</v>
      </c>
      <c r="AB908" s="18">
        <v>3</v>
      </c>
      <c r="AC908" s="18">
        <v>0</v>
      </c>
      <c r="AD908" s="18">
        <v>0</v>
      </c>
      <c r="AE908" s="18">
        <v>0</v>
      </c>
      <c r="AN908" s="3">
        <v>5</v>
      </c>
      <c r="AO908" s="3">
        <v>3</v>
      </c>
      <c r="AP908" s="3">
        <v>1</v>
      </c>
      <c r="AR908" s="2" t="s">
        <v>1616</v>
      </c>
    </row>
    <row r="909" spans="1:44" ht="12.75" customHeight="1">
      <c r="A909" s="4">
        <f>DATE(89,4,12)</f>
        <v>32610</v>
      </c>
      <c r="C909" s="2" t="s">
        <v>379</v>
      </c>
      <c r="E909" s="18">
        <v>2</v>
      </c>
      <c r="F909" s="18">
        <v>0</v>
      </c>
      <c r="G909" s="18">
        <v>0</v>
      </c>
      <c r="H909" s="18">
        <v>0</v>
      </c>
      <c r="I909" s="18">
        <v>1</v>
      </c>
      <c r="J909" s="18">
        <v>0</v>
      </c>
      <c r="K909" s="18">
        <v>0</v>
      </c>
      <c r="T909" s="3">
        <v>9</v>
      </c>
      <c r="U909" s="3">
        <v>11</v>
      </c>
      <c r="V909" s="3">
        <v>2</v>
      </c>
      <c r="X909" s="2" t="s">
        <v>1636</v>
      </c>
      <c r="Y909" s="18">
        <v>2</v>
      </c>
      <c r="Z909" s="18">
        <v>0</v>
      </c>
      <c r="AA909" s="18">
        <v>0</v>
      </c>
      <c r="AB909" s="18">
        <v>0</v>
      </c>
      <c r="AC909" s="18">
        <v>1</v>
      </c>
      <c r="AD909" s="18">
        <v>0</v>
      </c>
      <c r="AE909" s="18">
        <v>0</v>
      </c>
      <c r="AN909" s="3">
        <v>3</v>
      </c>
      <c r="AO909" s="3">
        <v>6</v>
      </c>
      <c r="AP909" s="3">
        <v>3</v>
      </c>
      <c r="AR909" s="2" t="s">
        <v>1638</v>
      </c>
    </row>
    <row r="910" spans="1:44" ht="12.75" customHeight="1">
      <c r="A910" s="4">
        <f>DATE(89,5,4)</f>
        <v>32632</v>
      </c>
      <c r="B910" s="2" t="s">
        <v>152</v>
      </c>
      <c r="C910" s="2" t="s">
        <v>379</v>
      </c>
      <c r="E910" s="18">
        <v>1</v>
      </c>
      <c r="F910" s="18">
        <v>0</v>
      </c>
      <c r="G910" s="18">
        <v>2</v>
      </c>
      <c r="H910" s="18">
        <v>4</v>
      </c>
      <c r="I910" s="18">
        <v>0</v>
      </c>
      <c r="J910" s="18">
        <v>1</v>
      </c>
      <c r="K910" s="18">
        <v>0</v>
      </c>
      <c r="T910" s="3">
        <v>8</v>
      </c>
      <c r="U910" s="3">
        <v>8</v>
      </c>
      <c r="V910" s="3">
        <v>4</v>
      </c>
      <c r="X910" s="2" t="s">
        <v>1653</v>
      </c>
      <c r="Y910" s="18">
        <v>0</v>
      </c>
      <c r="Z910" s="18">
        <v>3</v>
      </c>
      <c r="AA910" s="18">
        <v>0</v>
      </c>
      <c r="AB910" s="18">
        <v>0</v>
      </c>
      <c r="AC910" s="18">
        <v>1</v>
      </c>
      <c r="AD910" s="18">
        <v>1</v>
      </c>
      <c r="AE910" s="18">
        <v>1</v>
      </c>
      <c r="AN910" s="3">
        <v>6</v>
      </c>
      <c r="AO910" s="3">
        <v>10</v>
      </c>
      <c r="AP910" s="3">
        <v>4</v>
      </c>
      <c r="AR910" s="2" t="s">
        <v>1654</v>
      </c>
    </row>
    <row r="911" spans="1:44" ht="12.75" customHeight="1">
      <c r="A911" s="4">
        <f>DATE(90,4,12)</f>
        <v>32975</v>
      </c>
      <c r="C911" s="2" t="s">
        <v>379</v>
      </c>
      <c r="E911" s="18">
        <v>3</v>
      </c>
      <c r="F911" s="18">
        <v>0</v>
      </c>
      <c r="G911" s="18">
        <v>1</v>
      </c>
      <c r="H911" s="18">
        <v>0</v>
      </c>
      <c r="I911" s="18">
        <v>0</v>
      </c>
      <c r="J911" s="18">
        <v>3</v>
      </c>
      <c r="K911" s="18" t="s">
        <v>162</v>
      </c>
      <c r="T911" s="3">
        <v>7</v>
      </c>
      <c r="U911" s="3">
        <v>12</v>
      </c>
      <c r="V911" s="3">
        <v>2</v>
      </c>
      <c r="X911" s="2" t="s">
        <v>1636</v>
      </c>
      <c r="Y911" s="18">
        <v>0</v>
      </c>
      <c r="Z911" s="18">
        <v>0</v>
      </c>
      <c r="AA911" s="18">
        <v>0</v>
      </c>
      <c r="AB911" s="18">
        <v>0</v>
      </c>
      <c r="AC911" s="18">
        <v>0</v>
      </c>
      <c r="AD911" s="18">
        <v>2</v>
      </c>
      <c r="AE911" s="18">
        <v>1</v>
      </c>
      <c r="AN911" s="3">
        <v>3</v>
      </c>
      <c r="AO911" s="3">
        <v>5</v>
      </c>
      <c r="AP911" s="3">
        <v>1</v>
      </c>
      <c r="AR911" s="2" t="s">
        <v>1686</v>
      </c>
    </row>
    <row r="912" spans="1:44" ht="12.75" customHeight="1">
      <c r="A912" s="4">
        <f>DATE(90,5,3)</f>
        <v>32996</v>
      </c>
      <c r="B912" s="2" t="s">
        <v>152</v>
      </c>
      <c r="C912" s="2" t="s">
        <v>379</v>
      </c>
      <c r="E912" s="18">
        <v>2</v>
      </c>
      <c r="F912" s="18">
        <v>0</v>
      </c>
      <c r="G912" s="18">
        <v>2</v>
      </c>
      <c r="H912" s="18">
        <v>7</v>
      </c>
      <c r="I912" s="18">
        <v>0</v>
      </c>
      <c r="J912" s="18">
        <v>0</v>
      </c>
      <c r="K912" s="18">
        <v>2</v>
      </c>
      <c r="T912" s="3">
        <v>13</v>
      </c>
      <c r="U912" s="3">
        <v>19</v>
      </c>
      <c r="V912" s="3">
        <v>4</v>
      </c>
      <c r="X912" s="2" t="s">
        <v>1700</v>
      </c>
      <c r="Y912" s="18">
        <v>2</v>
      </c>
      <c r="Z912" s="18">
        <v>0</v>
      </c>
      <c r="AA912" s="18">
        <v>3</v>
      </c>
      <c r="AB912" s="18">
        <v>0</v>
      </c>
      <c r="AC912" s="18">
        <v>1</v>
      </c>
      <c r="AD912" s="18">
        <v>0</v>
      </c>
      <c r="AE912" s="18">
        <v>0</v>
      </c>
      <c r="AN912" s="3">
        <v>6</v>
      </c>
      <c r="AO912" s="3">
        <v>6</v>
      </c>
      <c r="AP912" s="3">
        <v>1</v>
      </c>
      <c r="AR912" s="2" t="s">
        <v>1701</v>
      </c>
    </row>
    <row r="913" spans="1:44" ht="12.75" customHeight="1">
      <c r="A913" s="4">
        <f>DATE(91,4,4)</f>
        <v>33332</v>
      </c>
      <c r="B913" s="2" t="s">
        <v>152</v>
      </c>
      <c r="C913" s="2" t="s">
        <v>379</v>
      </c>
      <c r="E913" s="18">
        <v>1</v>
      </c>
      <c r="F913" s="18">
        <v>0</v>
      </c>
      <c r="G913" s="18">
        <v>1</v>
      </c>
      <c r="H913" s="18">
        <v>0</v>
      </c>
      <c r="I913" s="18">
        <v>0</v>
      </c>
      <c r="J913" s="18">
        <v>0</v>
      </c>
      <c r="T913" s="3">
        <v>2</v>
      </c>
      <c r="U913" s="3">
        <v>5</v>
      </c>
      <c r="V913" s="3">
        <v>4</v>
      </c>
      <c r="X913" s="2" t="s">
        <v>1719</v>
      </c>
      <c r="Y913" s="18">
        <v>0</v>
      </c>
      <c r="Z913" s="18">
        <v>0</v>
      </c>
      <c r="AA913" s="18">
        <v>4</v>
      </c>
      <c r="AB913" s="18">
        <v>0</v>
      </c>
      <c r="AC913" s="18">
        <v>1</v>
      </c>
      <c r="AD913" s="18">
        <v>8</v>
      </c>
      <c r="AN913" s="3">
        <v>13</v>
      </c>
      <c r="AO913" s="3">
        <v>7</v>
      </c>
      <c r="AP913" s="3">
        <v>0</v>
      </c>
      <c r="AR913" s="2" t="s">
        <v>1720</v>
      </c>
    </row>
    <row r="914" spans="1:44" ht="12.75" customHeight="1">
      <c r="A914" s="4">
        <f>DATE(91,4,25)</f>
        <v>33353</v>
      </c>
      <c r="C914" s="2" t="s">
        <v>379</v>
      </c>
      <c r="E914" s="18">
        <v>2</v>
      </c>
      <c r="F914" s="18">
        <v>2</v>
      </c>
      <c r="G914" s="18">
        <v>3</v>
      </c>
      <c r="H914" s="18">
        <v>1</v>
      </c>
      <c r="I914" s="18">
        <v>1</v>
      </c>
      <c r="J914" s="18">
        <v>0</v>
      </c>
      <c r="K914" s="18">
        <v>0</v>
      </c>
      <c r="L914" s="18">
        <v>0</v>
      </c>
      <c r="M914" s="18">
        <v>0</v>
      </c>
      <c r="N914" s="18">
        <v>0</v>
      </c>
      <c r="O914" s="18">
        <v>1</v>
      </c>
      <c r="T914" s="3">
        <v>10</v>
      </c>
      <c r="U914" s="3">
        <v>8</v>
      </c>
      <c r="V914" s="3">
        <v>1</v>
      </c>
      <c r="X914" s="2" t="s">
        <v>1730</v>
      </c>
      <c r="Y914" s="18">
        <v>0</v>
      </c>
      <c r="Z914" s="18">
        <v>0</v>
      </c>
      <c r="AA914" s="18">
        <v>1</v>
      </c>
      <c r="AB914" s="18">
        <v>5</v>
      </c>
      <c r="AC914" s="18">
        <v>1</v>
      </c>
      <c r="AD914" s="18">
        <v>0</v>
      </c>
      <c r="AE914" s="18">
        <v>2</v>
      </c>
      <c r="AF914" s="18">
        <v>0</v>
      </c>
      <c r="AG914" s="18">
        <v>0</v>
      </c>
      <c r="AH914" s="18">
        <v>0</v>
      </c>
      <c r="AI914" s="18">
        <v>0</v>
      </c>
      <c r="AN914" s="3">
        <v>9</v>
      </c>
      <c r="AO914" s="3">
        <v>11</v>
      </c>
      <c r="AP914" s="3">
        <v>3</v>
      </c>
      <c r="AR914" s="2" t="s">
        <v>1731</v>
      </c>
    </row>
    <row r="915" spans="1:44" ht="12.75" customHeight="1">
      <c r="A915" s="4">
        <f>DATE(92,4,23)</f>
        <v>33717</v>
      </c>
      <c r="C915" s="2" t="s">
        <v>379</v>
      </c>
      <c r="E915" s="18">
        <v>7</v>
      </c>
      <c r="F915" s="18">
        <v>3</v>
      </c>
      <c r="G915" s="18">
        <v>1</v>
      </c>
      <c r="H915" s="18">
        <v>6</v>
      </c>
      <c r="I915" s="18">
        <v>6</v>
      </c>
      <c r="T915" s="3">
        <v>23</v>
      </c>
      <c r="U915" s="3">
        <v>17</v>
      </c>
      <c r="V915" s="3">
        <v>1</v>
      </c>
      <c r="X915" s="2" t="s">
        <v>1792</v>
      </c>
      <c r="Y915" s="18">
        <v>3</v>
      </c>
      <c r="Z915" s="18">
        <v>7</v>
      </c>
      <c r="AA915" s="18">
        <v>0</v>
      </c>
      <c r="AB915" s="18">
        <v>3</v>
      </c>
      <c r="AC915" s="18">
        <v>0</v>
      </c>
      <c r="AN915" s="3">
        <f aca="true" t="shared" si="32" ref="AN915:AN945">SUM(Y915:AM915)</f>
        <v>13</v>
      </c>
      <c r="AO915" s="3">
        <v>16</v>
      </c>
      <c r="AP915" s="3">
        <v>1</v>
      </c>
      <c r="AR915" s="2" t="s">
        <v>1793</v>
      </c>
    </row>
    <row r="916" spans="1:44" ht="12.75" customHeight="1">
      <c r="A916" s="4">
        <f>DATE(93,4,14)</f>
        <v>34073</v>
      </c>
      <c r="B916" s="2" t="s">
        <v>152</v>
      </c>
      <c r="C916" s="2" t="s">
        <v>379</v>
      </c>
      <c r="E916" s="18">
        <v>1</v>
      </c>
      <c r="F916" s="18">
        <v>11</v>
      </c>
      <c r="G916" s="18">
        <v>0</v>
      </c>
      <c r="H916" s="18">
        <v>0</v>
      </c>
      <c r="I916" s="18">
        <v>0</v>
      </c>
      <c r="T916" s="3">
        <f aca="true" t="shared" si="33" ref="T916:T945">SUM(E916:S916)</f>
        <v>12</v>
      </c>
      <c r="U916" s="3">
        <v>13</v>
      </c>
      <c r="V916" s="3">
        <v>1</v>
      </c>
      <c r="X916" s="2" t="s">
        <v>1820</v>
      </c>
      <c r="Y916" s="18">
        <v>0</v>
      </c>
      <c r="Z916" s="18">
        <v>0</v>
      </c>
      <c r="AA916" s="18">
        <v>1</v>
      </c>
      <c r="AB916" s="18">
        <v>0</v>
      </c>
      <c r="AC916" s="18">
        <v>0</v>
      </c>
      <c r="AN916" s="3">
        <f t="shared" si="32"/>
        <v>1</v>
      </c>
      <c r="AO916" s="3">
        <v>2</v>
      </c>
      <c r="AP916" s="3">
        <v>3</v>
      </c>
      <c r="AR916" s="2" t="s">
        <v>1821</v>
      </c>
    </row>
    <row r="917" spans="1:44" ht="12.75" customHeight="1">
      <c r="A917" s="4">
        <f>DATE(93,5,12)</f>
        <v>34101</v>
      </c>
      <c r="C917" s="2" t="s">
        <v>379</v>
      </c>
      <c r="E917" s="18">
        <v>2</v>
      </c>
      <c r="F917" s="18">
        <v>3</v>
      </c>
      <c r="G917" s="18">
        <v>0</v>
      </c>
      <c r="H917" s="18">
        <v>1</v>
      </c>
      <c r="I917" s="18">
        <v>0</v>
      </c>
      <c r="J917" s="18">
        <v>4</v>
      </c>
      <c r="K917" s="18" t="s">
        <v>162</v>
      </c>
      <c r="T917" s="3">
        <f t="shared" si="33"/>
        <v>10</v>
      </c>
      <c r="U917" s="3">
        <v>14</v>
      </c>
      <c r="V917" s="3">
        <v>2</v>
      </c>
      <c r="X917" s="2" t="s">
        <v>1824</v>
      </c>
      <c r="Y917" s="18">
        <v>0</v>
      </c>
      <c r="Z917" s="18">
        <v>0</v>
      </c>
      <c r="AA917" s="18">
        <v>0</v>
      </c>
      <c r="AB917" s="18">
        <v>1</v>
      </c>
      <c r="AC917" s="18">
        <v>0</v>
      </c>
      <c r="AD917" s="18">
        <v>2</v>
      </c>
      <c r="AE917" s="18">
        <v>0</v>
      </c>
      <c r="AN917" s="3">
        <f t="shared" si="32"/>
        <v>3</v>
      </c>
      <c r="AO917" s="3">
        <v>5</v>
      </c>
      <c r="AP917" s="3">
        <v>3</v>
      </c>
      <c r="AR917" s="2" t="s">
        <v>1839</v>
      </c>
    </row>
    <row r="918" spans="1:44" ht="12.75" customHeight="1">
      <c r="A918" s="4">
        <f>DATE(94,4,14)</f>
        <v>34438</v>
      </c>
      <c r="C918" s="2" t="s">
        <v>379</v>
      </c>
      <c r="E918" s="18">
        <v>1</v>
      </c>
      <c r="F918" s="18">
        <v>1</v>
      </c>
      <c r="G918" s="18">
        <v>0</v>
      </c>
      <c r="H918" s="18">
        <v>2</v>
      </c>
      <c r="I918" s="18">
        <v>4</v>
      </c>
      <c r="J918" s="18">
        <v>1</v>
      </c>
      <c r="K918" s="18" t="s">
        <v>162</v>
      </c>
      <c r="T918" s="3">
        <f t="shared" si="33"/>
        <v>9</v>
      </c>
      <c r="U918" s="3">
        <v>9</v>
      </c>
      <c r="V918" s="3">
        <v>0</v>
      </c>
      <c r="X918" s="2" t="s">
        <v>1824</v>
      </c>
      <c r="Y918" s="18">
        <v>1</v>
      </c>
      <c r="Z918" s="18">
        <v>0</v>
      </c>
      <c r="AA918" s="18">
        <v>1</v>
      </c>
      <c r="AB918" s="18">
        <v>0</v>
      </c>
      <c r="AC918" s="18">
        <v>0</v>
      </c>
      <c r="AD918" s="18">
        <v>0</v>
      </c>
      <c r="AE918" s="18">
        <v>0</v>
      </c>
      <c r="AN918" s="3">
        <f t="shared" si="32"/>
        <v>2</v>
      </c>
      <c r="AO918" s="3">
        <v>7</v>
      </c>
      <c r="AP918" s="3">
        <v>2</v>
      </c>
      <c r="AR918" s="2" t="s">
        <v>1851</v>
      </c>
    </row>
    <row r="919" spans="1:44" ht="12.75" customHeight="1">
      <c r="A919" s="4">
        <f>DATE(94,5,10)</f>
        <v>34464</v>
      </c>
      <c r="B919" s="2" t="s">
        <v>152</v>
      </c>
      <c r="C919" s="2" t="s">
        <v>379</v>
      </c>
      <c r="E919" s="18">
        <v>1</v>
      </c>
      <c r="F919" s="18">
        <v>0</v>
      </c>
      <c r="G919" s="18">
        <v>0</v>
      </c>
      <c r="H919" s="18">
        <v>1</v>
      </c>
      <c r="I919" s="18">
        <v>1</v>
      </c>
      <c r="J919" s="18">
        <v>4</v>
      </c>
      <c r="K919" s="18">
        <v>0</v>
      </c>
      <c r="L919" s="18">
        <v>1</v>
      </c>
      <c r="M919" s="18">
        <v>3</v>
      </c>
      <c r="T919" s="3">
        <f t="shared" si="33"/>
        <v>11</v>
      </c>
      <c r="U919" s="3">
        <v>15</v>
      </c>
      <c r="V919" s="3">
        <v>0</v>
      </c>
      <c r="X919" s="2" t="s">
        <v>1806</v>
      </c>
      <c r="Y919" s="18">
        <v>2</v>
      </c>
      <c r="Z919" s="18">
        <v>1</v>
      </c>
      <c r="AA919" s="18">
        <v>0</v>
      </c>
      <c r="AB919" s="18">
        <v>4</v>
      </c>
      <c r="AC919" s="18">
        <v>0</v>
      </c>
      <c r="AD919" s="18">
        <v>0</v>
      </c>
      <c r="AE919" s="18">
        <v>0</v>
      </c>
      <c r="AF919" s="18">
        <v>1</v>
      </c>
      <c r="AG919" s="18">
        <v>0</v>
      </c>
      <c r="AN919" s="3">
        <f t="shared" si="32"/>
        <v>8</v>
      </c>
      <c r="AO919" s="3">
        <v>6</v>
      </c>
      <c r="AP919" s="3">
        <v>5</v>
      </c>
      <c r="AR919" s="2" t="s">
        <v>1870</v>
      </c>
    </row>
    <row r="920" spans="1:44" ht="12.75" customHeight="1">
      <c r="A920" s="4">
        <v>35159</v>
      </c>
      <c r="B920" s="2" t="s">
        <v>152</v>
      </c>
      <c r="C920" s="2" t="s">
        <v>379</v>
      </c>
      <c r="E920" s="18">
        <v>0</v>
      </c>
      <c r="F920" s="18">
        <v>1</v>
      </c>
      <c r="G920" s="18">
        <v>0</v>
      </c>
      <c r="H920" s="18">
        <v>0</v>
      </c>
      <c r="I920" s="18">
        <v>0</v>
      </c>
      <c r="J920" s="18">
        <v>0</v>
      </c>
      <c r="K920" s="18">
        <v>2</v>
      </c>
      <c r="T920" s="3">
        <f t="shared" si="33"/>
        <v>3</v>
      </c>
      <c r="U920" s="3">
        <v>2</v>
      </c>
      <c r="V920" s="3">
        <v>3</v>
      </c>
      <c r="X920" s="2" t="s">
        <v>1893</v>
      </c>
      <c r="Y920" s="18">
        <v>0</v>
      </c>
      <c r="Z920" s="18">
        <v>0</v>
      </c>
      <c r="AA920" s="18">
        <v>0</v>
      </c>
      <c r="AB920" s="18">
        <v>1</v>
      </c>
      <c r="AC920" s="18">
        <v>0</v>
      </c>
      <c r="AD920" s="18">
        <v>1</v>
      </c>
      <c r="AE920" s="18">
        <v>0</v>
      </c>
      <c r="AN920" s="3">
        <f t="shared" si="32"/>
        <v>2</v>
      </c>
      <c r="AO920" s="3">
        <v>5</v>
      </c>
      <c r="AP920" s="3">
        <v>3</v>
      </c>
      <c r="AR920" s="2" t="s">
        <v>1273</v>
      </c>
    </row>
    <row r="921" spans="1:44" ht="12.75" customHeight="1">
      <c r="A921" s="4">
        <v>35179</v>
      </c>
      <c r="C921" s="2" t="s">
        <v>379</v>
      </c>
      <c r="E921" s="18">
        <v>0</v>
      </c>
      <c r="F921" s="18">
        <v>0</v>
      </c>
      <c r="G921" s="18">
        <v>0</v>
      </c>
      <c r="H921" s="18">
        <v>2</v>
      </c>
      <c r="I921" s="18">
        <v>2</v>
      </c>
      <c r="J921" s="18">
        <v>0</v>
      </c>
      <c r="K921" s="18">
        <v>2</v>
      </c>
      <c r="T921" s="3">
        <f t="shared" si="33"/>
        <v>6</v>
      </c>
      <c r="U921" s="3">
        <v>5</v>
      </c>
      <c r="V921" s="3">
        <v>0</v>
      </c>
      <c r="X921" s="2" t="s">
        <v>1893</v>
      </c>
      <c r="Y921" s="18">
        <v>3</v>
      </c>
      <c r="Z921" s="18">
        <v>0</v>
      </c>
      <c r="AA921" s="18">
        <v>0</v>
      </c>
      <c r="AB921" s="18">
        <v>0</v>
      </c>
      <c r="AC921" s="18">
        <v>0</v>
      </c>
      <c r="AD921" s="18">
        <v>1</v>
      </c>
      <c r="AE921" s="18">
        <v>0</v>
      </c>
      <c r="AN921" s="3">
        <f t="shared" si="32"/>
        <v>4</v>
      </c>
      <c r="AO921" s="3">
        <v>3</v>
      </c>
      <c r="AP921" s="3">
        <v>1</v>
      </c>
      <c r="AR921" s="2" t="s">
        <v>1280</v>
      </c>
    </row>
    <row r="922" spans="1:44" ht="12.75" customHeight="1">
      <c r="A922" s="9">
        <f>DATE(1997,4,17)</f>
        <v>35537</v>
      </c>
      <c r="C922" s="2" t="s">
        <v>379</v>
      </c>
      <c r="E922" s="18">
        <v>0</v>
      </c>
      <c r="F922" s="18">
        <v>5</v>
      </c>
      <c r="G922" s="18">
        <v>0</v>
      </c>
      <c r="H922" s="18">
        <v>0</v>
      </c>
      <c r="I922" s="18">
        <v>0</v>
      </c>
      <c r="J922" s="18">
        <v>3</v>
      </c>
      <c r="K922" s="18" t="s">
        <v>162</v>
      </c>
      <c r="T922" s="3">
        <f t="shared" si="33"/>
        <v>8</v>
      </c>
      <c r="U922" s="3">
        <v>12</v>
      </c>
      <c r="V922" s="3">
        <v>4</v>
      </c>
      <c r="X922" s="2" t="s">
        <v>432</v>
      </c>
      <c r="Y922" s="18">
        <v>1</v>
      </c>
      <c r="Z922" s="18">
        <v>0</v>
      </c>
      <c r="AA922" s="18">
        <v>1</v>
      </c>
      <c r="AB922" s="18">
        <v>0</v>
      </c>
      <c r="AC922" s="18">
        <v>1</v>
      </c>
      <c r="AD922" s="18">
        <v>0</v>
      </c>
      <c r="AE922" s="18">
        <v>0</v>
      </c>
      <c r="AN922" s="3">
        <f t="shared" si="32"/>
        <v>3</v>
      </c>
      <c r="AO922" s="3">
        <v>5</v>
      </c>
      <c r="AP922" s="3">
        <v>1</v>
      </c>
      <c r="AR922" s="2" t="s">
        <v>437</v>
      </c>
    </row>
    <row r="923" spans="1:44" ht="12.75" customHeight="1">
      <c r="A923" s="4">
        <v>35899</v>
      </c>
      <c r="B923" s="2" t="s">
        <v>152</v>
      </c>
      <c r="C923" s="2" t="s">
        <v>379</v>
      </c>
      <c r="E923" s="18">
        <v>0</v>
      </c>
      <c r="F923" s="18">
        <v>0</v>
      </c>
      <c r="G923" s="18">
        <v>1</v>
      </c>
      <c r="H923" s="18">
        <v>0</v>
      </c>
      <c r="I923" s="18">
        <v>6</v>
      </c>
      <c r="J923" s="18">
        <v>4</v>
      </c>
      <c r="K923" s="18">
        <v>3</v>
      </c>
      <c r="T923" s="3">
        <f t="shared" si="33"/>
        <v>14</v>
      </c>
      <c r="U923" s="3">
        <v>13</v>
      </c>
      <c r="V923" s="3">
        <v>4</v>
      </c>
      <c r="X923" s="2" t="s">
        <v>1993</v>
      </c>
      <c r="Y923" s="18">
        <v>0</v>
      </c>
      <c r="Z923" s="18">
        <v>0</v>
      </c>
      <c r="AA923" s="18">
        <v>0</v>
      </c>
      <c r="AB923" s="18">
        <v>7</v>
      </c>
      <c r="AC923" s="18">
        <v>0</v>
      </c>
      <c r="AD923" s="18">
        <v>2</v>
      </c>
      <c r="AE923" s="18">
        <v>0</v>
      </c>
      <c r="AN923" s="3">
        <f t="shared" si="32"/>
        <v>9</v>
      </c>
      <c r="AO923" s="3">
        <v>8</v>
      </c>
      <c r="AP923" s="3">
        <v>5</v>
      </c>
      <c r="AR923" s="2" t="s">
        <v>2001</v>
      </c>
    </row>
    <row r="924" spans="1:44" ht="12.75" customHeight="1">
      <c r="A924" s="4">
        <v>35922</v>
      </c>
      <c r="C924" s="2" t="s">
        <v>379</v>
      </c>
      <c r="E924" s="18">
        <v>0</v>
      </c>
      <c r="F924" s="18">
        <v>3</v>
      </c>
      <c r="G924" s="18">
        <v>1</v>
      </c>
      <c r="H924" s="18">
        <v>0</v>
      </c>
      <c r="I924" s="18">
        <v>0</v>
      </c>
      <c r="J924" s="18">
        <v>1</v>
      </c>
      <c r="K924" s="18" t="s">
        <v>162</v>
      </c>
      <c r="T924" s="3">
        <f t="shared" si="33"/>
        <v>5</v>
      </c>
      <c r="U924" s="3">
        <v>6</v>
      </c>
      <c r="V924" s="3">
        <v>3</v>
      </c>
      <c r="X924" s="2" t="s">
        <v>1908</v>
      </c>
      <c r="Y924" s="18">
        <v>0</v>
      </c>
      <c r="Z924" s="18">
        <v>0</v>
      </c>
      <c r="AA924" s="18">
        <v>0</v>
      </c>
      <c r="AB924" s="18">
        <v>1</v>
      </c>
      <c r="AC924" s="18">
        <v>0</v>
      </c>
      <c r="AD924" s="18">
        <v>2</v>
      </c>
      <c r="AE924" s="18">
        <v>1</v>
      </c>
      <c r="AN924" s="3">
        <f t="shared" si="32"/>
        <v>4</v>
      </c>
      <c r="AO924" s="3">
        <v>8</v>
      </c>
      <c r="AP924" s="3">
        <v>1</v>
      </c>
      <c r="AR924" s="2" t="s">
        <v>2009</v>
      </c>
    </row>
    <row r="925" spans="1:44" ht="12.75" customHeight="1">
      <c r="A925" s="5">
        <v>36276</v>
      </c>
      <c r="B925" s="2" t="s">
        <v>152</v>
      </c>
      <c r="C925" s="2" t="s">
        <v>379</v>
      </c>
      <c r="E925" s="18">
        <v>0</v>
      </c>
      <c r="F925" s="18">
        <v>0</v>
      </c>
      <c r="G925" s="18">
        <v>0</v>
      </c>
      <c r="H925" s="18">
        <v>1</v>
      </c>
      <c r="I925" s="18">
        <v>1</v>
      </c>
      <c r="J925" s="18">
        <v>3</v>
      </c>
      <c r="K925" s="18">
        <v>0</v>
      </c>
      <c r="T925" s="3">
        <f t="shared" si="33"/>
        <v>5</v>
      </c>
      <c r="U925" s="3">
        <v>8</v>
      </c>
      <c r="V925" s="3">
        <v>2</v>
      </c>
      <c r="X925" s="2" t="s">
        <v>502</v>
      </c>
      <c r="Y925" s="18">
        <v>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  <c r="AE925" s="18">
        <v>0</v>
      </c>
      <c r="AN925" s="3">
        <f t="shared" si="32"/>
        <v>0</v>
      </c>
      <c r="AO925" s="3">
        <v>1</v>
      </c>
      <c r="AP925" s="3">
        <v>0</v>
      </c>
      <c r="AR925" s="2" t="s">
        <v>613</v>
      </c>
    </row>
    <row r="926" spans="1:44" ht="12.75" customHeight="1">
      <c r="A926" s="4">
        <v>36636</v>
      </c>
      <c r="C926" s="2" t="s">
        <v>379</v>
      </c>
      <c r="E926" s="18">
        <v>0</v>
      </c>
      <c r="F926" s="18">
        <v>2</v>
      </c>
      <c r="G926" s="18">
        <v>0</v>
      </c>
      <c r="H926" s="18">
        <v>0</v>
      </c>
      <c r="I926" s="18">
        <v>4</v>
      </c>
      <c r="J926" s="18">
        <v>3</v>
      </c>
      <c r="T926" s="3">
        <f t="shared" si="33"/>
        <v>9</v>
      </c>
      <c r="U926" s="3">
        <v>15</v>
      </c>
      <c r="V926" s="3">
        <v>3</v>
      </c>
      <c r="X926" s="2" t="s">
        <v>20</v>
      </c>
      <c r="Y926" s="18">
        <v>3</v>
      </c>
      <c r="Z926" s="18">
        <v>0</v>
      </c>
      <c r="AA926" s="18">
        <v>0</v>
      </c>
      <c r="AB926" s="18">
        <v>0</v>
      </c>
      <c r="AC926" s="18">
        <v>0</v>
      </c>
      <c r="AD926" s="18">
        <v>1</v>
      </c>
      <c r="AE926" s="18">
        <v>1</v>
      </c>
      <c r="AN926" s="3">
        <f t="shared" si="32"/>
        <v>5</v>
      </c>
      <c r="AO926" s="3">
        <v>10</v>
      </c>
      <c r="AP926" s="3">
        <v>3</v>
      </c>
      <c r="AR926" s="2" t="s">
        <v>21</v>
      </c>
    </row>
    <row r="927" spans="1:44" ht="12.75" customHeight="1">
      <c r="A927" s="5">
        <v>37004</v>
      </c>
      <c r="B927" s="2" t="s">
        <v>152</v>
      </c>
      <c r="C927" s="2" t="s">
        <v>379</v>
      </c>
      <c r="E927" s="18">
        <v>0</v>
      </c>
      <c r="F927" s="18">
        <v>1</v>
      </c>
      <c r="G927" s="18">
        <v>5</v>
      </c>
      <c r="H927" s="18">
        <v>1</v>
      </c>
      <c r="I927" s="18">
        <v>2</v>
      </c>
      <c r="J927" s="18">
        <v>2</v>
      </c>
      <c r="T927" s="3">
        <f t="shared" si="33"/>
        <v>11</v>
      </c>
      <c r="U927" s="3">
        <v>15</v>
      </c>
      <c r="V927" s="3">
        <v>1</v>
      </c>
      <c r="X927" s="2" t="s">
        <v>107</v>
      </c>
      <c r="Y927" s="18">
        <v>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  <c r="AN927" s="3">
        <f t="shared" si="32"/>
        <v>0</v>
      </c>
      <c r="AO927" s="3">
        <v>1</v>
      </c>
      <c r="AP927" s="3">
        <v>0</v>
      </c>
      <c r="AR927" s="2" t="s">
        <v>108</v>
      </c>
    </row>
    <row r="928" spans="1:44" ht="12.75" customHeight="1">
      <c r="A928" s="5">
        <v>40647</v>
      </c>
      <c r="B928" s="2" t="s">
        <v>152</v>
      </c>
      <c r="C928" s="2" t="s">
        <v>379</v>
      </c>
      <c r="E928" s="18">
        <v>1</v>
      </c>
      <c r="F928" s="18">
        <v>3</v>
      </c>
      <c r="G928" s="18">
        <v>7</v>
      </c>
      <c r="H928" s="18">
        <v>0</v>
      </c>
      <c r="I928" s="18">
        <v>0</v>
      </c>
      <c r="J928" s="18">
        <v>0</v>
      </c>
      <c r="K928" s="18">
        <v>2</v>
      </c>
      <c r="T928" s="3">
        <f t="shared" si="33"/>
        <v>13</v>
      </c>
      <c r="U928" s="3">
        <v>11</v>
      </c>
      <c r="V928" s="3">
        <v>3</v>
      </c>
      <c r="X928" s="2" t="s">
        <v>863</v>
      </c>
      <c r="Y928" s="18">
        <v>0</v>
      </c>
      <c r="Z928" s="18">
        <v>0</v>
      </c>
      <c r="AA928" s="18">
        <v>2</v>
      </c>
      <c r="AB928" s="18">
        <v>0</v>
      </c>
      <c r="AC928" s="18">
        <v>2</v>
      </c>
      <c r="AD928" s="18">
        <v>0</v>
      </c>
      <c r="AE928" s="18">
        <v>2</v>
      </c>
      <c r="AN928" s="3">
        <f t="shared" si="32"/>
        <v>6</v>
      </c>
      <c r="AO928" s="3">
        <v>12</v>
      </c>
      <c r="AP928" s="3">
        <v>1</v>
      </c>
      <c r="AR928" s="2" t="s">
        <v>1960</v>
      </c>
    </row>
    <row r="929" spans="1:44" ht="12.75" customHeight="1">
      <c r="A929" s="5">
        <v>40998</v>
      </c>
      <c r="C929" s="2" t="s">
        <v>379</v>
      </c>
      <c r="E929" s="18">
        <v>0</v>
      </c>
      <c r="F929" s="18">
        <v>0</v>
      </c>
      <c r="G929" s="18">
        <v>1</v>
      </c>
      <c r="H929" s="18">
        <v>0</v>
      </c>
      <c r="I929" s="18">
        <v>0</v>
      </c>
      <c r="J929" s="18">
        <v>2</v>
      </c>
      <c r="K929" s="18" t="s">
        <v>162</v>
      </c>
      <c r="T929" s="3">
        <f t="shared" si="33"/>
        <v>3</v>
      </c>
      <c r="U929" s="3">
        <v>7</v>
      </c>
      <c r="V929" s="3">
        <v>1</v>
      </c>
      <c r="X929" s="2" t="s">
        <v>2018</v>
      </c>
      <c r="Y929" s="18">
        <v>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  <c r="AE929" s="18">
        <v>1</v>
      </c>
      <c r="AN929" s="3">
        <f t="shared" si="32"/>
        <v>1</v>
      </c>
      <c r="AO929" s="3">
        <v>4</v>
      </c>
      <c r="AP929" s="3">
        <v>1</v>
      </c>
      <c r="AR929" s="2" t="s">
        <v>2023</v>
      </c>
    </row>
    <row r="930" spans="1:44" ht="12.75" customHeight="1">
      <c r="A930" s="5">
        <v>41401</v>
      </c>
      <c r="B930" s="2" t="s">
        <v>152</v>
      </c>
      <c r="C930" s="2" t="s">
        <v>379</v>
      </c>
      <c r="E930" s="18">
        <v>0</v>
      </c>
      <c r="F930" s="18">
        <v>0</v>
      </c>
      <c r="G930" s="18">
        <v>3</v>
      </c>
      <c r="H930" s="18">
        <v>0</v>
      </c>
      <c r="I930" s="18">
        <v>0</v>
      </c>
      <c r="J930" s="18">
        <v>1</v>
      </c>
      <c r="K930" s="18">
        <v>0</v>
      </c>
      <c r="L930" s="18">
        <v>0</v>
      </c>
      <c r="M930" s="18">
        <v>2</v>
      </c>
      <c r="T930" s="3">
        <f t="shared" si="33"/>
        <v>6</v>
      </c>
      <c r="U930" s="3">
        <v>6</v>
      </c>
      <c r="V930" s="3">
        <v>2</v>
      </c>
      <c r="X930" s="2" t="s">
        <v>2017</v>
      </c>
      <c r="Y930" s="18">
        <v>0</v>
      </c>
      <c r="Z930" s="18">
        <v>0</v>
      </c>
      <c r="AA930" s="18">
        <v>0</v>
      </c>
      <c r="AB930" s="18">
        <v>0</v>
      </c>
      <c r="AC930" s="18">
        <v>1</v>
      </c>
      <c r="AD930" s="18">
        <v>0</v>
      </c>
      <c r="AE930" s="18">
        <v>3</v>
      </c>
      <c r="AF930" s="18">
        <v>0</v>
      </c>
      <c r="AG930" s="18">
        <v>0</v>
      </c>
      <c r="AN930" s="3">
        <f t="shared" si="32"/>
        <v>4</v>
      </c>
      <c r="AO930" s="3">
        <v>11</v>
      </c>
      <c r="AP930" s="3">
        <v>3</v>
      </c>
      <c r="AR930" s="2" t="s">
        <v>2088</v>
      </c>
    </row>
    <row r="931" spans="1:44" ht="12.75" customHeight="1">
      <c r="A931" s="5">
        <v>41408</v>
      </c>
      <c r="C931" s="2" t="s">
        <v>379</v>
      </c>
      <c r="E931" s="18">
        <v>0</v>
      </c>
      <c r="F931" s="18">
        <v>0</v>
      </c>
      <c r="G931" s="18">
        <v>1</v>
      </c>
      <c r="H931" s="18">
        <v>2</v>
      </c>
      <c r="I931" s="18">
        <v>0</v>
      </c>
      <c r="J931" s="18">
        <v>0</v>
      </c>
      <c r="K931" s="18">
        <v>1</v>
      </c>
      <c r="T931" s="3">
        <f t="shared" si="33"/>
        <v>4</v>
      </c>
      <c r="U931" s="3">
        <v>6</v>
      </c>
      <c r="V931" s="3">
        <v>5</v>
      </c>
      <c r="X931" s="2" t="s">
        <v>2054</v>
      </c>
      <c r="Y931" s="18">
        <v>1</v>
      </c>
      <c r="Z931" s="18">
        <v>0</v>
      </c>
      <c r="AA931" s="18">
        <v>1</v>
      </c>
      <c r="AB931" s="18">
        <v>0</v>
      </c>
      <c r="AC931" s="18">
        <v>1</v>
      </c>
      <c r="AD931" s="18">
        <v>1</v>
      </c>
      <c r="AE931" s="18">
        <v>4</v>
      </c>
      <c r="AN931" s="3">
        <f t="shared" si="32"/>
        <v>8</v>
      </c>
      <c r="AO931" s="3">
        <v>10</v>
      </c>
      <c r="AP931" s="3">
        <v>1</v>
      </c>
      <c r="AR931" s="2" t="s">
        <v>2055</v>
      </c>
    </row>
    <row r="932" spans="1:44" ht="12.75" customHeight="1">
      <c r="A932" s="5">
        <v>41765</v>
      </c>
      <c r="C932" s="2" t="s">
        <v>379</v>
      </c>
      <c r="E932" s="18">
        <v>0</v>
      </c>
      <c r="F932" s="18">
        <v>0</v>
      </c>
      <c r="G932" s="18">
        <v>0</v>
      </c>
      <c r="H932" s="18">
        <v>1</v>
      </c>
      <c r="I932" s="18">
        <v>0</v>
      </c>
      <c r="J932" s="18">
        <v>0</v>
      </c>
      <c r="K932" s="18">
        <v>2</v>
      </c>
      <c r="L932" s="18">
        <v>0</v>
      </c>
      <c r="M932" s="18">
        <v>0</v>
      </c>
      <c r="N932" s="18">
        <v>0</v>
      </c>
      <c r="O932" s="18">
        <v>0</v>
      </c>
      <c r="P932" s="18">
        <v>0</v>
      </c>
      <c r="Q932" s="18">
        <v>0</v>
      </c>
      <c r="T932" s="3">
        <f t="shared" si="33"/>
        <v>3</v>
      </c>
      <c r="U932" s="3">
        <v>10</v>
      </c>
      <c r="V932" s="3">
        <v>5</v>
      </c>
      <c r="X932" s="2" t="s">
        <v>2068</v>
      </c>
      <c r="Y932" s="18">
        <v>0</v>
      </c>
      <c r="Z932" s="18">
        <v>0</v>
      </c>
      <c r="AA932" s="18">
        <v>1</v>
      </c>
      <c r="AB932" s="18">
        <v>0</v>
      </c>
      <c r="AC932" s="18">
        <v>0</v>
      </c>
      <c r="AD932" s="18">
        <v>0</v>
      </c>
      <c r="AE932" s="18">
        <v>2</v>
      </c>
      <c r="AF932" s="18">
        <v>0</v>
      </c>
      <c r="AG932" s="18">
        <v>0</v>
      </c>
      <c r="AH932" s="18">
        <v>0</v>
      </c>
      <c r="AI932" s="18">
        <v>0</v>
      </c>
      <c r="AJ932" s="18">
        <v>0</v>
      </c>
      <c r="AK932" s="18">
        <v>1</v>
      </c>
      <c r="AN932" s="3">
        <f t="shared" si="32"/>
        <v>4</v>
      </c>
      <c r="AO932" s="3">
        <v>9</v>
      </c>
      <c r="AP932" s="3">
        <v>2</v>
      </c>
      <c r="AR932" s="2" t="s">
        <v>2066</v>
      </c>
    </row>
    <row r="933" spans="1:44" ht="12.75" customHeight="1">
      <c r="A933" s="5">
        <v>41765</v>
      </c>
      <c r="C933" s="2" t="s">
        <v>379</v>
      </c>
      <c r="E933" s="18">
        <v>0</v>
      </c>
      <c r="F933" s="18">
        <v>3</v>
      </c>
      <c r="G933" s="18">
        <v>0</v>
      </c>
      <c r="H933" s="18">
        <v>3</v>
      </c>
      <c r="I933" s="18">
        <v>0</v>
      </c>
      <c r="J933" s="18">
        <v>2</v>
      </c>
      <c r="K933" s="18" t="s">
        <v>162</v>
      </c>
      <c r="T933" s="3">
        <f t="shared" si="33"/>
        <v>8</v>
      </c>
      <c r="U933" s="3">
        <v>8</v>
      </c>
      <c r="V933" s="3">
        <v>4</v>
      </c>
      <c r="X933" s="2" t="s">
        <v>2067</v>
      </c>
      <c r="Y933" s="18">
        <v>0</v>
      </c>
      <c r="Z933" s="18">
        <v>0</v>
      </c>
      <c r="AA933" s="18">
        <v>3</v>
      </c>
      <c r="AB933" s="18">
        <v>0</v>
      </c>
      <c r="AC933" s="18">
        <v>0</v>
      </c>
      <c r="AD933" s="18">
        <v>0</v>
      </c>
      <c r="AE933" s="18">
        <v>0</v>
      </c>
      <c r="AN933" s="3">
        <f t="shared" si="32"/>
        <v>3</v>
      </c>
      <c r="AO933" s="3">
        <v>7</v>
      </c>
      <c r="AP933" s="3">
        <v>4</v>
      </c>
      <c r="AR933" s="2" t="s">
        <v>2069</v>
      </c>
    </row>
    <row r="934" spans="1:44" ht="12.75" customHeight="1">
      <c r="A934" s="5">
        <v>42123</v>
      </c>
      <c r="C934" s="2" t="s">
        <v>379</v>
      </c>
      <c r="E934" s="18">
        <v>0</v>
      </c>
      <c r="F934" s="18">
        <v>0</v>
      </c>
      <c r="G934" s="18">
        <v>0</v>
      </c>
      <c r="H934" s="18">
        <v>0</v>
      </c>
      <c r="I934" s="18">
        <v>1</v>
      </c>
      <c r="J934" s="18">
        <v>0</v>
      </c>
      <c r="K934" s="18">
        <v>0</v>
      </c>
      <c r="T934" s="3">
        <f t="shared" si="33"/>
        <v>1</v>
      </c>
      <c r="U934" s="3">
        <v>4</v>
      </c>
      <c r="V934" s="3">
        <v>2</v>
      </c>
      <c r="X934" s="2" t="s">
        <v>2065</v>
      </c>
      <c r="Y934" s="18">
        <v>0</v>
      </c>
      <c r="Z934" s="18">
        <v>1</v>
      </c>
      <c r="AA934" s="18">
        <v>1</v>
      </c>
      <c r="AB934" s="18">
        <v>0</v>
      </c>
      <c r="AC934" s="18">
        <v>1</v>
      </c>
      <c r="AD934" s="18">
        <v>2</v>
      </c>
      <c r="AE934" s="18">
        <v>0</v>
      </c>
      <c r="AN934" s="3">
        <f t="shared" si="32"/>
        <v>5</v>
      </c>
      <c r="AO934" s="3">
        <v>11</v>
      </c>
      <c r="AP934" s="3">
        <v>3</v>
      </c>
      <c r="AR934" s="2" t="s">
        <v>2134</v>
      </c>
    </row>
    <row r="935" spans="1:44" ht="12.75" customHeight="1">
      <c r="A935" s="5">
        <v>42128</v>
      </c>
      <c r="B935" s="2" t="s">
        <v>152</v>
      </c>
      <c r="C935" s="2" t="s">
        <v>379</v>
      </c>
      <c r="E935" s="18">
        <v>0</v>
      </c>
      <c r="F935" s="18">
        <v>0</v>
      </c>
      <c r="G935" s="18">
        <v>0</v>
      </c>
      <c r="H935" s="18">
        <v>0</v>
      </c>
      <c r="I935" s="18">
        <v>0</v>
      </c>
      <c r="J935" s="18">
        <v>3</v>
      </c>
      <c r="K935" s="18">
        <v>4</v>
      </c>
      <c r="T935" s="3">
        <f t="shared" si="33"/>
        <v>7</v>
      </c>
      <c r="U935" s="3">
        <v>11</v>
      </c>
      <c r="V935" s="3">
        <v>1</v>
      </c>
      <c r="X935" s="2" t="s">
        <v>2130</v>
      </c>
      <c r="Y935" s="18">
        <v>0</v>
      </c>
      <c r="Z935" s="18">
        <v>1</v>
      </c>
      <c r="AA935" s="18">
        <v>1</v>
      </c>
      <c r="AB935" s="18">
        <v>0</v>
      </c>
      <c r="AC935" s="18">
        <v>1</v>
      </c>
      <c r="AD935" s="18">
        <v>3</v>
      </c>
      <c r="AE935" s="18">
        <v>0</v>
      </c>
      <c r="AN935" s="3">
        <f t="shared" si="32"/>
        <v>6</v>
      </c>
      <c r="AO935" s="3">
        <v>10</v>
      </c>
      <c r="AP935" s="3">
        <v>1</v>
      </c>
      <c r="AR935" s="2" t="s">
        <v>2131</v>
      </c>
    </row>
    <row r="936" spans="1:44" ht="12.75" customHeight="1">
      <c r="A936" s="5">
        <v>42475</v>
      </c>
      <c r="B936" s="2" t="s">
        <v>152</v>
      </c>
      <c r="C936" s="2" t="s">
        <v>379</v>
      </c>
      <c r="E936" s="18">
        <v>1</v>
      </c>
      <c r="F936" s="18">
        <v>0</v>
      </c>
      <c r="G936" s="18">
        <v>0</v>
      </c>
      <c r="H936" s="18">
        <v>0</v>
      </c>
      <c r="I936" s="18">
        <v>0</v>
      </c>
      <c r="J936" s="18">
        <v>1</v>
      </c>
      <c r="K936" s="18">
        <v>1</v>
      </c>
      <c r="L936" s="18">
        <v>0</v>
      </c>
      <c r="T936" s="3">
        <f t="shared" si="33"/>
        <v>3</v>
      </c>
      <c r="U936" s="3">
        <v>3</v>
      </c>
      <c r="V936" s="3">
        <v>1</v>
      </c>
      <c r="X936" s="2" t="s">
        <v>2154</v>
      </c>
      <c r="Y936" s="18">
        <v>0</v>
      </c>
      <c r="Z936" s="18">
        <v>0</v>
      </c>
      <c r="AA936" s="18">
        <v>0</v>
      </c>
      <c r="AB936" s="18">
        <v>0</v>
      </c>
      <c r="AC936" s="18">
        <v>1</v>
      </c>
      <c r="AD936" s="18">
        <v>0</v>
      </c>
      <c r="AE936" s="18">
        <v>2</v>
      </c>
      <c r="AF936" s="18">
        <v>1</v>
      </c>
      <c r="AN936" s="3">
        <f t="shared" si="32"/>
        <v>4</v>
      </c>
      <c r="AO936" s="3">
        <v>13</v>
      </c>
      <c r="AP936" s="3">
        <v>4</v>
      </c>
      <c r="AR936" s="2" t="s">
        <v>2155</v>
      </c>
    </row>
    <row r="937" spans="1:44" ht="12.75" customHeight="1">
      <c r="A937" s="5">
        <v>42500</v>
      </c>
      <c r="C937" s="2" t="s">
        <v>379</v>
      </c>
      <c r="E937" s="18">
        <v>2</v>
      </c>
      <c r="F937" s="18">
        <v>2</v>
      </c>
      <c r="G937" s="18">
        <v>0</v>
      </c>
      <c r="H937" s="18">
        <v>1</v>
      </c>
      <c r="I937" s="18">
        <v>1</v>
      </c>
      <c r="J937" s="18">
        <v>5</v>
      </c>
      <c r="K937" s="18" t="s">
        <v>162</v>
      </c>
      <c r="T937" s="3">
        <f t="shared" si="33"/>
        <v>11</v>
      </c>
      <c r="U937" s="3">
        <v>8</v>
      </c>
      <c r="V937" s="3">
        <v>4</v>
      </c>
      <c r="X937" s="2" t="s">
        <v>2159</v>
      </c>
      <c r="Y937" s="18">
        <v>2</v>
      </c>
      <c r="Z937" s="18">
        <v>1</v>
      </c>
      <c r="AA937" s="18">
        <v>1</v>
      </c>
      <c r="AB937" s="18">
        <v>0</v>
      </c>
      <c r="AC937" s="18">
        <v>2</v>
      </c>
      <c r="AD937" s="18">
        <v>1</v>
      </c>
      <c r="AE937" s="18">
        <v>0</v>
      </c>
      <c r="AN937" s="3">
        <f t="shared" si="32"/>
        <v>7</v>
      </c>
      <c r="AO937" s="3">
        <v>12</v>
      </c>
      <c r="AP937" s="3">
        <v>4</v>
      </c>
      <c r="AR937" s="2" t="s">
        <v>2160</v>
      </c>
    </row>
    <row r="938" spans="1:44" ht="12.75" customHeight="1">
      <c r="A938" s="5">
        <v>42838</v>
      </c>
      <c r="C938" s="2" t="s">
        <v>379</v>
      </c>
      <c r="E938" s="18">
        <v>0</v>
      </c>
      <c r="F938" s="18">
        <v>1</v>
      </c>
      <c r="G938" s="18">
        <v>0</v>
      </c>
      <c r="H938" s="18">
        <v>0</v>
      </c>
      <c r="I938" s="18">
        <v>2</v>
      </c>
      <c r="J938" s="18">
        <v>3</v>
      </c>
      <c r="K938" s="18" t="s">
        <v>162</v>
      </c>
      <c r="T938" s="3">
        <f t="shared" si="33"/>
        <v>6</v>
      </c>
      <c r="U938" s="3">
        <v>7</v>
      </c>
      <c r="V938" s="3">
        <v>2</v>
      </c>
      <c r="X938" s="2" t="s">
        <v>2193</v>
      </c>
      <c r="Y938" s="18">
        <v>0</v>
      </c>
      <c r="Z938" s="18">
        <v>0</v>
      </c>
      <c r="AA938" s="18">
        <v>2</v>
      </c>
      <c r="AB938" s="18">
        <v>1</v>
      </c>
      <c r="AC938" s="18">
        <v>0</v>
      </c>
      <c r="AD938" s="18">
        <v>0</v>
      </c>
      <c r="AE938" s="18">
        <v>0</v>
      </c>
      <c r="AN938" s="3">
        <f t="shared" si="32"/>
        <v>3</v>
      </c>
      <c r="AO938" s="3">
        <v>3</v>
      </c>
      <c r="AP938" s="3">
        <v>4</v>
      </c>
      <c r="AR938" s="2" t="s">
        <v>2198</v>
      </c>
    </row>
    <row r="939" spans="1:44" ht="12.75" customHeight="1">
      <c r="A939" s="5">
        <v>42863</v>
      </c>
      <c r="B939" s="2" t="s">
        <v>152</v>
      </c>
      <c r="C939" s="2" t="s">
        <v>379</v>
      </c>
      <c r="E939" s="18">
        <v>0</v>
      </c>
      <c r="F939" s="18">
        <v>1</v>
      </c>
      <c r="G939" s="18">
        <v>1</v>
      </c>
      <c r="H939" s="18">
        <v>0</v>
      </c>
      <c r="I939" s="18">
        <v>0</v>
      </c>
      <c r="J939" s="18">
        <v>1</v>
      </c>
      <c r="K939" s="18">
        <v>3</v>
      </c>
      <c r="T939" s="3">
        <f t="shared" si="33"/>
        <v>6</v>
      </c>
      <c r="U939" s="3">
        <v>12</v>
      </c>
      <c r="V939" s="3">
        <v>1</v>
      </c>
      <c r="X939" s="2" t="s">
        <v>2167</v>
      </c>
      <c r="Y939" s="18">
        <v>0</v>
      </c>
      <c r="Z939" s="18">
        <v>0</v>
      </c>
      <c r="AA939" s="18">
        <v>0</v>
      </c>
      <c r="AB939" s="18">
        <v>2</v>
      </c>
      <c r="AC939" s="18">
        <v>0</v>
      </c>
      <c r="AD939" s="18">
        <v>0</v>
      </c>
      <c r="AE939" s="18">
        <v>0</v>
      </c>
      <c r="AN939" s="3">
        <f t="shared" si="32"/>
        <v>2</v>
      </c>
      <c r="AO939" s="3">
        <v>7</v>
      </c>
      <c r="AP939" s="3">
        <v>2</v>
      </c>
      <c r="AR939" s="2" t="s">
        <v>2184</v>
      </c>
    </row>
    <row r="940" spans="1:44" ht="12.75" customHeight="1">
      <c r="A940" s="5">
        <v>43203</v>
      </c>
      <c r="B940" s="2" t="s">
        <v>152</v>
      </c>
      <c r="C940" s="2" t="s">
        <v>379</v>
      </c>
      <c r="E940" s="18">
        <v>0</v>
      </c>
      <c r="F940" s="18">
        <v>3</v>
      </c>
      <c r="G940" s="18">
        <v>0</v>
      </c>
      <c r="H940" s="18">
        <v>0</v>
      </c>
      <c r="I940" s="18">
        <v>0</v>
      </c>
      <c r="J940" s="18">
        <v>0</v>
      </c>
      <c r="K940" s="18">
        <v>0</v>
      </c>
      <c r="T940" s="3">
        <f t="shared" si="33"/>
        <v>3</v>
      </c>
      <c r="U940" s="3">
        <v>6</v>
      </c>
      <c r="V940" s="3">
        <v>0</v>
      </c>
      <c r="X940" s="2" t="s">
        <v>2193</v>
      </c>
      <c r="Y940" s="18">
        <v>0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  <c r="AE940" s="18">
        <v>0</v>
      </c>
      <c r="AN940" s="3">
        <f t="shared" si="32"/>
        <v>0</v>
      </c>
      <c r="AO940" s="3">
        <v>3</v>
      </c>
      <c r="AP940" s="3">
        <v>1</v>
      </c>
      <c r="AR940" s="2" t="s">
        <v>2318</v>
      </c>
    </row>
    <row r="941" spans="1:44" ht="12.75" customHeight="1">
      <c r="A941" s="5">
        <v>43228</v>
      </c>
      <c r="C941" s="2" t="s">
        <v>379</v>
      </c>
      <c r="E941" s="18">
        <v>0</v>
      </c>
      <c r="F941" s="18">
        <v>0</v>
      </c>
      <c r="G941" s="18">
        <v>2</v>
      </c>
      <c r="H941" s="18">
        <v>0</v>
      </c>
      <c r="I941" s="18">
        <v>0</v>
      </c>
      <c r="J941" s="18">
        <v>0</v>
      </c>
      <c r="K941" s="18" t="s">
        <v>162</v>
      </c>
      <c r="T941" s="3">
        <f t="shared" si="33"/>
        <v>2</v>
      </c>
      <c r="U941" s="3">
        <v>5</v>
      </c>
      <c r="V941" s="3">
        <v>1</v>
      </c>
      <c r="X941" s="2" t="s">
        <v>2232</v>
      </c>
      <c r="Y941" s="18">
        <v>1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  <c r="AE941" s="18">
        <v>0</v>
      </c>
      <c r="AN941" s="3">
        <f t="shared" si="32"/>
        <v>1</v>
      </c>
      <c r="AO941" s="3">
        <v>4</v>
      </c>
      <c r="AP941" s="3">
        <v>2</v>
      </c>
      <c r="AR941" s="2" t="s">
        <v>2302</v>
      </c>
    </row>
    <row r="942" spans="1:44" ht="12.75" customHeight="1">
      <c r="A942" s="5">
        <v>43563</v>
      </c>
      <c r="C942" s="2" t="s">
        <v>379</v>
      </c>
      <c r="E942" s="18">
        <v>0</v>
      </c>
      <c r="F942" s="18">
        <v>0</v>
      </c>
      <c r="G942" s="18">
        <v>4</v>
      </c>
      <c r="H942" s="18">
        <v>0</v>
      </c>
      <c r="I942" s="18">
        <v>2</v>
      </c>
      <c r="J942" s="18">
        <v>0</v>
      </c>
      <c r="K942" s="18" t="s">
        <v>162</v>
      </c>
      <c r="T942" s="3">
        <f t="shared" si="33"/>
        <v>6</v>
      </c>
      <c r="U942" s="3">
        <v>9</v>
      </c>
      <c r="V942" s="3">
        <v>2</v>
      </c>
      <c r="X942" s="2" t="s">
        <v>2193</v>
      </c>
      <c r="Y942" s="18">
        <v>0</v>
      </c>
      <c r="Z942" s="18">
        <v>1</v>
      </c>
      <c r="AA942" s="18">
        <v>0</v>
      </c>
      <c r="AB942" s="18">
        <v>0</v>
      </c>
      <c r="AC942" s="18">
        <v>1</v>
      </c>
      <c r="AD942" s="18">
        <v>0</v>
      </c>
      <c r="AE942" s="18">
        <v>0</v>
      </c>
      <c r="AN942" s="3">
        <f t="shared" si="32"/>
        <v>2</v>
      </c>
      <c r="AO942" s="3">
        <v>7</v>
      </c>
      <c r="AP942" s="3">
        <v>2</v>
      </c>
      <c r="AR942" s="2" t="s">
        <v>2300</v>
      </c>
    </row>
    <row r="943" spans="1:44" ht="12.75" customHeight="1">
      <c r="A943" s="5">
        <v>43588</v>
      </c>
      <c r="B943" s="2" t="s">
        <v>152</v>
      </c>
      <c r="C943" s="2" t="s">
        <v>379</v>
      </c>
      <c r="E943" s="18">
        <v>2</v>
      </c>
      <c r="F943" s="18">
        <v>0</v>
      </c>
      <c r="G943" s="18">
        <v>0</v>
      </c>
      <c r="H943" s="18">
        <v>0</v>
      </c>
      <c r="I943" s="18">
        <v>1</v>
      </c>
      <c r="J943" s="18">
        <v>0</v>
      </c>
      <c r="K943" s="18">
        <v>1</v>
      </c>
      <c r="T943" s="3">
        <f t="shared" si="33"/>
        <v>4</v>
      </c>
      <c r="U943" s="3">
        <v>9</v>
      </c>
      <c r="V943" s="3">
        <v>1</v>
      </c>
      <c r="X943" s="2" t="s">
        <v>2231</v>
      </c>
      <c r="Y943" s="18">
        <v>0</v>
      </c>
      <c r="Z943" s="18">
        <v>0</v>
      </c>
      <c r="AA943" s="18">
        <v>1</v>
      </c>
      <c r="AB943" s="18">
        <v>1</v>
      </c>
      <c r="AC943" s="18">
        <v>0</v>
      </c>
      <c r="AD943" s="18">
        <v>1</v>
      </c>
      <c r="AE943" s="18">
        <v>0</v>
      </c>
      <c r="AN943" s="3">
        <f t="shared" si="32"/>
        <v>3</v>
      </c>
      <c r="AO943" s="3">
        <v>10</v>
      </c>
      <c r="AP943" s="3">
        <v>1</v>
      </c>
      <c r="AR943" s="2" t="s">
        <v>2247</v>
      </c>
    </row>
    <row r="944" spans="1:44" ht="12.75" customHeight="1">
      <c r="A944" s="5">
        <v>44306</v>
      </c>
      <c r="C944" s="2" t="s">
        <v>379</v>
      </c>
      <c r="E944" s="18">
        <v>0</v>
      </c>
      <c r="F944" s="18">
        <v>0</v>
      </c>
      <c r="G944" s="18">
        <v>0</v>
      </c>
      <c r="H944" s="18">
        <v>1</v>
      </c>
      <c r="I944" s="18">
        <v>0</v>
      </c>
      <c r="J944" s="18">
        <v>3</v>
      </c>
      <c r="K944" s="18">
        <v>1</v>
      </c>
      <c r="T944" s="3">
        <f t="shared" si="33"/>
        <v>5</v>
      </c>
      <c r="U944" s="3">
        <v>7</v>
      </c>
      <c r="V944" s="3">
        <v>7</v>
      </c>
      <c r="X944" s="2" t="s">
        <v>2263</v>
      </c>
      <c r="Y944" s="18">
        <v>2</v>
      </c>
      <c r="Z944" s="18">
        <v>0</v>
      </c>
      <c r="AA944" s="18">
        <v>2</v>
      </c>
      <c r="AB944" s="18">
        <v>1</v>
      </c>
      <c r="AC944" s="18">
        <v>4</v>
      </c>
      <c r="AD944" s="18">
        <v>1</v>
      </c>
      <c r="AE944" s="18">
        <v>0</v>
      </c>
      <c r="AN944" s="3">
        <f t="shared" si="32"/>
        <v>10</v>
      </c>
      <c r="AO944" s="3">
        <v>12</v>
      </c>
      <c r="AP944" s="3">
        <v>1</v>
      </c>
      <c r="AR944" s="2" t="s">
        <v>2286</v>
      </c>
    </row>
    <row r="945" spans="1:44" ht="12.75" customHeight="1">
      <c r="A945" s="5">
        <v>44329</v>
      </c>
      <c r="B945" s="2" t="s">
        <v>152</v>
      </c>
      <c r="C945" s="2" t="s">
        <v>379</v>
      </c>
      <c r="E945" s="18">
        <v>0</v>
      </c>
      <c r="F945" s="18">
        <v>0</v>
      </c>
      <c r="G945" s="18">
        <v>0</v>
      </c>
      <c r="H945" s="18">
        <v>0</v>
      </c>
      <c r="I945" s="18">
        <v>3</v>
      </c>
      <c r="J945" s="18">
        <v>1</v>
      </c>
      <c r="K945" s="18">
        <v>0</v>
      </c>
      <c r="T945" s="3">
        <f t="shared" si="33"/>
        <v>4</v>
      </c>
      <c r="U945" s="3">
        <v>5</v>
      </c>
      <c r="V945" s="3">
        <v>1</v>
      </c>
      <c r="X945" s="2" t="s">
        <v>2257</v>
      </c>
      <c r="Y945" s="18">
        <v>0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  <c r="AE945" s="18">
        <v>0</v>
      </c>
      <c r="AN945" s="3">
        <f t="shared" si="32"/>
        <v>0</v>
      </c>
      <c r="AO945" s="3">
        <v>4</v>
      </c>
      <c r="AP945" s="3">
        <v>1</v>
      </c>
      <c r="AR945" s="2" t="s">
        <v>2258</v>
      </c>
    </row>
    <row r="946" spans="1:44" ht="12.75">
      <c r="A946" s="5">
        <v>44675</v>
      </c>
      <c r="B946" s="2" t="s">
        <v>152</v>
      </c>
      <c r="C946" s="2" t="s">
        <v>379</v>
      </c>
      <c r="E946" s="18">
        <v>0</v>
      </c>
      <c r="F946" s="18">
        <v>1</v>
      </c>
      <c r="G946" s="18">
        <v>0</v>
      </c>
      <c r="H946" s="18">
        <v>0</v>
      </c>
      <c r="I946" s="18">
        <v>0</v>
      </c>
      <c r="J946" s="18">
        <v>2</v>
      </c>
      <c r="K946" s="18">
        <v>0</v>
      </c>
      <c r="T946" s="3">
        <v>3</v>
      </c>
      <c r="U946" s="3">
        <v>6</v>
      </c>
      <c r="V946" s="3">
        <v>0</v>
      </c>
      <c r="X946" s="2" t="s">
        <v>2263</v>
      </c>
      <c r="Y946" s="18">
        <v>1</v>
      </c>
      <c r="Z946" s="18">
        <v>0</v>
      </c>
      <c r="AA946" s="18">
        <v>3</v>
      </c>
      <c r="AB946" s="18">
        <v>0</v>
      </c>
      <c r="AC946" s="18">
        <v>1</v>
      </c>
      <c r="AD946" s="18">
        <v>0</v>
      </c>
      <c r="AE946" s="18" t="s">
        <v>162</v>
      </c>
      <c r="AN946" s="3">
        <v>5</v>
      </c>
      <c r="AO946" s="3">
        <v>9</v>
      </c>
      <c r="AP946" s="3">
        <v>1</v>
      </c>
      <c r="AR946" s="2" t="s">
        <v>2349</v>
      </c>
    </row>
    <row r="947" spans="1:44" ht="12.75">
      <c r="A947" s="5">
        <v>44693</v>
      </c>
      <c r="C947" s="2" t="s">
        <v>379</v>
      </c>
      <c r="E947" s="18">
        <v>0</v>
      </c>
      <c r="F947" s="18">
        <v>0</v>
      </c>
      <c r="G947" s="18">
        <v>0</v>
      </c>
      <c r="H947" s="18">
        <v>0</v>
      </c>
      <c r="I947" s="18">
        <v>0</v>
      </c>
      <c r="J947" s="18">
        <v>1</v>
      </c>
      <c r="K947" s="18">
        <v>0</v>
      </c>
      <c r="T947" s="3">
        <v>1</v>
      </c>
      <c r="U947" s="3">
        <v>3</v>
      </c>
      <c r="V947" s="3">
        <v>3</v>
      </c>
      <c r="X947" s="2" t="s">
        <v>2361</v>
      </c>
      <c r="Y947" s="18">
        <v>0</v>
      </c>
      <c r="Z947" s="18">
        <v>0</v>
      </c>
      <c r="AA947" s="18">
        <v>2</v>
      </c>
      <c r="AB947" s="18">
        <v>0</v>
      </c>
      <c r="AC947" s="18">
        <v>2</v>
      </c>
      <c r="AD947" s="18">
        <v>0</v>
      </c>
      <c r="AE947" s="18">
        <v>7</v>
      </c>
      <c r="AN947" s="3">
        <v>11</v>
      </c>
      <c r="AO947" s="3">
        <v>10</v>
      </c>
      <c r="AP947" s="3">
        <v>2</v>
      </c>
      <c r="AR947" s="2" t="s">
        <v>2360</v>
      </c>
    </row>
    <row r="948" spans="1:44" ht="12.75" customHeight="1">
      <c r="A948" s="4">
        <f>DATE(80,4,1)</f>
        <v>29312</v>
      </c>
      <c r="B948" s="2" t="s">
        <v>152</v>
      </c>
      <c r="C948" s="2" t="s">
        <v>1232</v>
      </c>
      <c r="E948" s="18">
        <v>0</v>
      </c>
      <c r="F948" s="18">
        <v>0</v>
      </c>
      <c r="G948" s="18">
        <v>0</v>
      </c>
      <c r="H948" s="18">
        <v>0</v>
      </c>
      <c r="I948" s="18">
        <v>1</v>
      </c>
      <c r="J948" s="18">
        <v>1</v>
      </c>
      <c r="K948" s="18">
        <v>0</v>
      </c>
      <c r="T948" s="3">
        <v>2</v>
      </c>
      <c r="U948" s="3">
        <v>5</v>
      </c>
      <c r="V948" s="3">
        <v>1</v>
      </c>
      <c r="X948" s="2" t="s">
        <v>1233</v>
      </c>
      <c r="Y948" s="18">
        <v>0</v>
      </c>
      <c r="Z948" s="18">
        <v>0</v>
      </c>
      <c r="AA948" s="18">
        <v>0</v>
      </c>
      <c r="AB948" s="18">
        <v>1</v>
      </c>
      <c r="AC948" s="18">
        <v>0</v>
      </c>
      <c r="AD948" s="18">
        <v>0</v>
      </c>
      <c r="AE948" s="18">
        <v>2</v>
      </c>
      <c r="AN948" s="3">
        <v>3</v>
      </c>
      <c r="AO948" s="3">
        <v>5</v>
      </c>
      <c r="AP948" s="3">
        <v>3</v>
      </c>
      <c r="AR948" s="2" t="s">
        <v>1234</v>
      </c>
    </row>
    <row r="949" spans="1:44" ht="12.75" customHeight="1">
      <c r="A949" s="4">
        <f>DATE(80,4,3)</f>
        <v>29314</v>
      </c>
      <c r="B949" s="2" t="s">
        <v>152</v>
      </c>
      <c r="C949" s="2" t="s">
        <v>1232</v>
      </c>
      <c r="E949" s="18">
        <v>3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3</v>
      </c>
      <c r="T949" s="3">
        <v>6</v>
      </c>
      <c r="U949" s="3">
        <v>7</v>
      </c>
      <c r="V949" s="3">
        <v>4</v>
      </c>
      <c r="X949" s="2" t="s">
        <v>1218</v>
      </c>
      <c r="Y949" s="18">
        <v>0</v>
      </c>
      <c r="Z949" s="18">
        <v>0</v>
      </c>
      <c r="AA949" s="18">
        <v>0</v>
      </c>
      <c r="AB949" s="18">
        <v>0</v>
      </c>
      <c r="AC949" s="18">
        <v>1</v>
      </c>
      <c r="AD949" s="18">
        <v>0</v>
      </c>
      <c r="AE949" s="18">
        <v>0</v>
      </c>
      <c r="AN949" s="3">
        <v>1</v>
      </c>
      <c r="AO949" s="3">
        <v>3</v>
      </c>
      <c r="AP949" s="3">
        <v>2</v>
      </c>
      <c r="AR949" s="2" t="s">
        <v>286</v>
      </c>
    </row>
    <row r="950" spans="1:44" ht="12.75" customHeight="1">
      <c r="A950" s="11">
        <v>14356</v>
      </c>
      <c r="B950" s="2" t="s">
        <v>152</v>
      </c>
      <c r="C950" s="2" t="s">
        <v>153</v>
      </c>
      <c r="E950" s="18">
        <v>2</v>
      </c>
      <c r="F950" s="18">
        <v>0</v>
      </c>
      <c r="G950" s="18">
        <v>0</v>
      </c>
      <c r="H950" s="18">
        <v>0</v>
      </c>
      <c r="I950" s="18">
        <v>4</v>
      </c>
      <c r="J950" s="18">
        <v>1</v>
      </c>
      <c r="K950" s="18">
        <v>2</v>
      </c>
      <c r="L950" s="18">
        <v>2</v>
      </c>
      <c r="M950" s="18">
        <v>1</v>
      </c>
      <c r="T950" s="3">
        <v>12</v>
      </c>
      <c r="U950" s="3">
        <v>15</v>
      </c>
      <c r="V950" s="3">
        <v>3</v>
      </c>
      <c r="X950" s="2" t="s">
        <v>1922</v>
      </c>
      <c r="Y950" s="18">
        <v>0</v>
      </c>
      <c r="Z950" s="18">
        <v>1</v>
      </c>
      <c r="AA950" s="18">
        <v>1</v>
      </c>
      <c r="AB950" s="18">
        <v>0</v>
      </c>
      <c r="AC950" s="18">
        <v>1</v>
      </c>
      <c r="AD950" s="18">
        <v>0</v>
      </c>
      <c r="AE950" s="18">
        <v>0</v>
      </c>
      <c r="AF950" s="18">
        <v>0</v>
      </c>
      <c r="AG950" s="18">
        <v>3</v>
      </c>
      <c r="AN950" s="3">
        <v>6</v>
      </c>
      <c r="AO950" s="3">
        <v>6</v>
      </c>
      <c r="AP950" s="3">
        <v>6</v>
      </c>
      <c r="AR950" s="2" t="s">
        <v>1923</v>
      </c>
    </row>
    <row r="951" spans="1:44" ht="12.75" customHeight="1">
      <c r="A951" s="4">
        <v>14374</v>
      </c>
      <c r="C951" s="2" t="s">
        <v>153</v>
      </c>
      <c r="E951" s="18">
        <v>0</v>
      </c>
      <c r="F951" s="18">
        <v>1</v>
      </c>
      <c r="G951" s="18">
        <v>0</v>
      </c>
      <c r="H951" s="18">
        <v>0</v>
      </c>
      <c r="I951" s="18">
        <v>3</v>
      </c>
      <c r="J951" s="18">
        <v>0</v>
      </c>
      <c r="K951" s="18">
        <v>0</v>
      </c>
      <c r="L951" s="18">
        <v>0</v>
      </c>
      <c r="M951" s="18" t="s">
        <v>162</v>
      </c>
      <c r="T951" s="3">
        <v>4</v>
      </c>
      <c r="U951" s="3">
        <v>7</v>
      </c>
      <c r="V951" s="3">
        <v>4</v>
      </c>
      <c r="X951" s="2" t="s">
        <v>1922</v>
      </c>
      <c r="Y951" s="18">
        <v>0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  <c r="AE951" s="18">
        <v>1</v>
      </c>
      <c r="AF951" s="18">
        <v>0</v>
      </c>
      <c r="AG951" s="18">
        <v>1</v>
      </c>
      <c r="AN951" s="3">
        <v>2</v>
      </c>
      <c r="AO951" s="3">
        <v>4</v>
      </c>
      <c r="AP951" s="3">
        <v>2</v>
      </c>
      <c r="AR951" s="2" t="s">
        <v>1927</v>
      </c>
    </row>
    <row r="952" spans="1:44" ht="12.75" customHeight="1">
      <c r="A952" s="4">
        <v>14738</v>
      </c>
      <c r="B952" s="2" t="s">
        <v>152</v>
      </c>
      <c r="C952" s="2" t="s">
        <v>153</v>
      </c>
      <c r="E952" s="18">
        <v>2</v>
      </c>
      <c r="F952" s="18">
        <v>4</v>
      </c>
      <c r="G952" s="18">
        <v>0</v>
      </c>
      <c r="H952" s="18">
        <v>1</v>
      </c>
      <c r="I952" s="18">
        <v>0</v>
      </c>
      <c r="J952" s="18">
        <v>0</v>
      </c>
      <c r="K952" s="18">
        <v>3</v>
      </c>
      <c r="L952" s="18">
        <v>3</v>
      </c>
      <c r="M952" s="18">
        <v>0</v>
      </c>
      <c r="T952" s="3">
        <v>13</v>
      </c>
      <c r="U952" s="3">
        <v>15</v>
      </c>
      <c r="V952" s="3">
        <v>2</v>
      </c>
      <c r="X952" s="2" t="s">
        <v>59</v>
      </c>
      <c r="Y952" s="18">
        <v>1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  <c r="AE952" s="18">
        <v>0</v>
      </c>
      <c r="AF952" s="18">
        <v>0</v>
      </c>
      <c r="AG952" s="18">
        <v>0</v>
      </c>
      <c r="AN952" s="3">
        <v>1</v>
      </c>
      <c r="AO952" s="3">
        <v>4</v>
      </c>
      <c r="AP952" s="3">
        <v>3</v>
      </c>
      <c r="AR952" s="2" t="s">
        <v>32</v>
      </c>
    </row>
    <row r="953" spans="1:44" ht="12.75" customHeight="1">
      <c r="A953" s="4">
        <v>14742</v>
      </c>
      <c r="C953" s="2" t="s">
        <v>153</v>
      </c>
      <c r="E953" s="18">
        <v>0</v>
      </c>
      <c r="F953" s="18">
        <v>0</v>
      </c>
      <c r="G953" s="18">
        <v>0</v>
      </c>
      <c r="H953" s="18">
        <v>0</v>
      </c>
      <c r="I953" s="18">
        <v>5</v>
      </c>
      <c r="J953" s="18">
        <v>4</v>
      </c>
      <c r="K953" s="18">
        <v>0</v>
      </c>
      <c r="L953" s="18">
        <v>0</v>
      </c>
      <c r="M953" s="18" t="s">
        <v>162</v>
      </c>
      <c r="T953" s="3">
        <v>9</v>
      </c>
      <c r="U953" s="3">
        <v>8</v>
      </c>
      <c r="V953" s="3">
        <v>0</v>
      </c>
      <c r="X953" s="2" t="s">
        <v>54</v>
      </c>
      <c r="Y953" s="18">
        <v>0</v>
      </c>
      <c r="Z953" s="18">
        <v>0</v>
      </c>
      <c r="AA953" s="18">
        <v>0</v>
      </c>
      <c r="AB953" s="18">
        <v>0</v>
      </c>
      <c r="AC953" s="18">
        <v>2</v>
      </c>
      <c r="AD953" s="18">
        <v>0</v>
      </c>
      <c r="AE953" s="18">
        <v>0</v>
      </c>
      <c r="AF953" s="18">
        <v>0</v>
      </c>
      <c r="AG953" s="18">
        <v>0</v>
      </c>
      <c r="AN953" s="3">
        <v>2</v>
      </c>
      <c r="AO953" s="3">
        <v>6</v>
      </c>
      <c r="AP953" s="3">
        <v>0</v>
      </c>
      <c r="AR953" s="2" t="s">
        <v>34</v>
      </c>
    </row>
    <row r="954" spans="1:44" ht="12.75" customHeight="1">
      <c r="A954" s="4">
        <v>15091</v>
      </c>
      <c r="B954" s="2" t="s">
        <v>152</v>
      </c>
      <c r="C954" s="2" t="s">
        <v>153</v>
      </c>
      <c r="E954" s="18">
        <v>1</v>
      </c>
      <c r="F954" s="18">
        <v>0</v>
      </c>
      <c r="G954" s="18">
        <v>2</v>
      </c>
      <c r="H954" s="18">
        <v>0</v>
      </c>
      <c r="I954" s="18">
        <v>1</v>
      </c>
      <c r="J954" s="18">
        <v>1</v>
      </c>
      <c r="K954" s="18">
        <v>3</v>
      </c>
      <c r="L954" s="18">
        <v>0</v>
      </c>
      <c r="M954" s="18">
        <v>3</v>
      </c>
      <c r="T954" s="3">
        <v>11</v>
      </c>
      <c r="U954" s="3">
        <v>13</v>
      </c>
      <c r="V954" s="3" t="s">
        <v>162</v>
      </c>
      <c r="X954" s="2" t="s">
        <v>59</v>
      </c>
      <c r="Y954" s="18">
        <v>0</v>
      </c>
      <c r="Z954" s="18">
        <v>1</v>
      </c>
      <c r="AA954" s="18">
        <v>0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1</v>
      </c>
      <c r="AN954" s="3">
        <v>2</v>
      </c>
      <c r="AO954" s="3">
        <v>8</v>
      </c>
      <c r="AP954" s="3" t="s">
        <v>162</v>
      </c>
      <c r="AR954" s="2" t="s">
        <v>44</v>
      </c>
    </row>
    <row r="955" spans="1:44" ht="12.75" customHeight="1">
      <c r="A955" s="4">
        <v>15110</v>
      </c>
      <c r="C955" s="2" t="s">
        <v>153</v>
      </c>
      <c r="E955" s="18">
        <v>3</v>
      </c>
      <c r="F955" s="18">
        <v>3</v>
      </c>
      <c r="G955" s="18">
        <v>1</v>
      </c>
      <c r="H955" s="18">
        <v>0</v>
      </c>
      <c r="I955" s="18">
        <v>0</v>
      </c>
      <c r="J955" s="18">
        <v>0</v>
      </c>
      <c r="K955" s="18" t="s">
        <v>162</v>
      </c>
      <c r="T955" s="3">
        <v>7</v>
      </c>
      <c r="U955" s="3">
        <v>8</v>
      </c>
      <c r="V955" s="3">
        <v>0</v>
      </c>
      <c r="X955" s="2" t="s">
        <v>1748</v>
      </c>
      <c r="Y955" s="18">
        <v>0</v>
      </c>
      <c r="Z955" s="18">
        <v>0</v>
      </c>
      <c r="AA955" s="18">
        <v>0</v>
      </c>
      <c r="AB955" s="18">
        <v>0</v>
      </c>
      <c r="AC955" s="18">
        <v>0</v>
      </c>
      <c r="AD955" s="18">
        <v>2</v>
      </c>
      <c r="AE955" s="18">
        <v>0</v>
      </c>
      <c r="AN955" s="3">
        <v>2</v>
      </c>
      <c r="AO955" s="3">
        <v>5</v>
      </c>
      <c r="AP955" s="3">
        <v>2</v>
      </c>
      <c r="AR955" s="2" t="s">
        <v>48</v>
      </c>
    </row>
    <row r="956" spans="1:44" ht="12.75" customHeight="1">
      <c r="A956" s="4">
        <v>15463</v>
      </c>
      <c r="C956" s="2" t="s">
        <v>153</v>
      </c>
      <c r="E956" s="18">
        <v>0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2</v>
      </c>
      <c r="T956" s="3">
        <v>2</v>
      </c>
      <c r="U956" s="3" t="s">
        <v>162</v>
      </c>
      <c r="V956" s="3" t="s">
        <v>162</v>
      </c>
      <c r="X956" s="2" t="s">
        <v>70</v>
      </c>
      <c r="Y956" s="18">
        <v>0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  <c r="AE956" s="18">
        <v>0</v>
      </c>
      <c r="AF956" s="18">
        <v>0</v>
      </c>
      <c r="AG956" s="18">
        <v>1</v>
      </c>
      <c r="AN956" s="3">
        <v>1</v>
      </c>
      <c r="AO956" s="3" t="s">
        <v>162</v>
      </c>
      <c r="AP956" s="3" t="s">
        <v>162</v>
      </c>
      <c r="AR956" s="2" t="s">
        <v>363</v>
      </c>
    </row>
    <row r="957" spans="1:44" ht="12.75" customHeight="1">
      <c r="A957" s="4">
        <v>15480</v>
      </c>
      <c r="B957" s="2" t="s">
        <v>152</v>
      </c>
      <c r="C957" s="2" t="s">
        <v>153</v>
      </c>
      <c r="E957" s="18">
        <v>0</v>
      </c>
      <c r="F957" s="18">
        <v>6</v>
      </c>
      <c r="G957" s="18">
        <v>4</v>
      </c>
      <c r="H957" s="18">
        <v>5</v>
      </c>
      <c r="I957" s="18">
        <v>0</v>
      </c>
      <c r="J957" s="18">
        <v>5</v>
      </c>
      <c r="K957" s="18">
        <v>0</v>
      </c>
      <c r="T957" s="3">
        <v>20</v>
      </c>
      <c r="U957" s="3" t="s">
        <v>162</v>
      </c>
      <c r="V957" s="3" t="s">
        <v>162</v>
      </c>
      <c r="X957" s="2" t="s">
        <v>66</v>
      </c>
      <c r="Y957" s="18">
        <v>3</v>
      </c>
      <c r="Z957" s="18">
        <v>0</v>
      </c>
      <c r="AA957" s="18">
        <v>1</v>
      </c>
      <c r="AB957" s="18">
        <v>0</v>
      </c>
      <c r="AC957" s="18">
        <v>0</v>
      </c>
      <c r="AD957" s="18">
        <v>0</v>
      </c>
      <c r="AE957" s="18">
        <v>1</v>
      </c>
      <c r="AN957" s="3">
        <v>5</v>
      </c>
      <c r="AO957" s="3" t="s">
        <v>162</v>
      </c>
      <c r="AP957" s="3" t="s">
        <v>162</v>
      </c>
      <c r="AR957" s="2" t="s">
        <v>26</v>
      </c>
    </row>
    <row r="958" spans="1:44" ht="12.75" customHeight="1">
      <c r="A958" s="4">
        <v>16930</v>
      </c>
      <c r="C958" s="2" t="s">
        <v>153</v>
      </c>
      <c r="E958" s="18">
        <v>0</v>
      </c>
      <c r="F958" s="18">
        <v>0</v>
      </c>
      <c r="G958" s="18">
        <v>0</v>
      </c>
      <c r="H958" s="18">
        <v>0</v>
      </c>
      <c r="I958" s="18">
        <v>0</v>
      </c>
      <c r="J958" s="18">
        <v>2</v>
      </c>
      <c r="K958" s="18">
        <v>0</v>
      </c>
      <c r="L958" s="18">
        <v>0</v>
      </c>
      <c r="T958" s="3">
        <v>2</v>
      </c>
      <c r="U958" s="3">
        <v>7</v>
      </c>
      <c r="V958" s="3">
        <v>3</v>
      </c>
      <c r="X958" s="2" t="s">
        <v>405</v>
      </c>
      <c r="Y958" s="18">
        <v>1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  <c r="AE958" s="18">
        <v>1</v>
      </c>
      <c r="AF958" s="18">
        <v>1</v>
      </c>
      <c r="AN958" s="3">
        <v>3</v>
      </c>
      <c r="AO958" s="3">
        <v>11</v>
      </c>
      <c r="AP958" s="3">
        <v>3</v>
      </c>
      <c r="AR958" s="2" t="s">
        <v>406</v>
      </c>
    </row>
    <row r="959" spans="1:44" ht="12.75" customHeight="1">
      <c r="A959" s="4">
        <v>16945</v>
      </c>
      <c r="C959" s="2" t="s">
        <v>153</v>
      </c>
      <c r="E959" s="18">
        <v>3</v>
      </c>
      <c r="F959" s="18">
        <v>0</v>
      </c>
      <c r="G959" s="18">
        <v>0</v>
      </c>
      <c r="H959" s="18">
        <v>2</v>
      </c>
      <c r="I959" s="18">
        <v>0</v>
      </c>
      <c r="J959" s="18">
        <v>0</v>
      </c>
      <c r="K959" s="18" t="s">
        <v>162</v>
      </c>
      <c r="T959" s="3">
        <v>5</v>
      </c>
      <c r="U959" s="3">
        <v>9</v>
      </c>
      <c r="V959" s="3">
        <v>0</v>
      </c>
      <c r="X959" s="2" t="s">
        <v>400</v>
      </c>
      <c r="Y959" s="18">
        <v>0</v>
      </c>
      <c r="Z959" s="18">
        <v>1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N959" s="3">
        <v>1</v>
      </c>
      <c r="AO959" s="3">
        <v>4</v>
      </c>
      <c r="AP959" s="3">
        <v>4</v>
      </c>
      <c r="AR959" s="2" t="s">
        <v>408</v>
      </c>
    </row>
    <row r="960" spans="1:44" ht="12.75" customHeight="1">
      <c r="A960" s="4">
        <v>17302</v>
      </c>
      <c r="B960" s="2" t="s">
        <v>152</v>
      </c>
      <c r="C960" s="2" t="s">
        <v>153</v>
      </c>
      <c r="E960" s="18">
        <v>0</v>
      </c>
      <c r="F960" s="18">
        <v>2</v>
      </c>
      <c r="G960" s="18">
        <v>0</v>
      </c>
      <c r="H960" s="18">
        <v>0</v>
      </c>
      <c r="I960" s="18">
        <v>3</v>
      </c>
      <c r="J960" s="18">
        <v>0</v>
      </c>
      <c r="K960" s="18">
        <v>4</v>
      </c>
      <c r="T960" s="3">
        <v>9</v>
      </c>
      <c r="U960" s="3">
        <v>7</v>
      </c>
      <c r="V960" s="3">
        <v>8</v>
      </c>
      <c r="X960" s="2" t="s">
        <v>75</v>
      </c>
      <c r="Y960" s="18">
        <v>4</v>
      </c>
      <c r="Z960" s="18">
        <v>5</v>
      </c>
      <c r="AA960" s="18">
        <v>1</v>
      </c>
      <c r="AB960" s="18">
        <v>0</v>
      </c>
      <c r="AC960" s="18">
        <v>0</v>
      </c>
      <c r="AD960" s="18">
        <v>0</v>
      </c>
      <c r="AE960" s="18" t="s">
        <v>162</v>
      </c>
      <c r="AN960" s="3">
        <f>SUM(Y960:AH960)</f>
        <v>10</v>
      </c>
      <c r="AO960" s="3">
        <v>7</v>
      </c>
      <c r="AP960" s="3">
        <v>6</v>
      </c>
      <c r="AR960" s="2" t="s">
        <v>356</v>
      </c>
    </row>
    <row r="961" spans="1:44" ht="12.75" customHeight="1">
      <c r="A961" s="4">
        <v>17307</v>
      </c>
      <c r="C961" s="2" t="s">
        <v>153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1</v>
      </c>
      <c r="K961" s="18">
        <v>0</v>
      </c>
      <c r="T961" s="3">
        <v>1</v>
      </c>
      <c r="U961" s="3">
        <v>6</v>
      </c>
      <c r="V961" s="3">
        <v>5</v>
      </c>
      <c r="X961" s="2" t="s">
        <v>74</v>
      </c>
      <c r="Y961" s="18">
        <v>2</v>
      </c>
      <c r="Z961" s="18">
        <v>0</v>
      </c>
      <c r="AA961" s="18">
        <v>1</v>
      </c>
      <c r="AB961" s="18">
        <v>0</v>
      </c>
      <c r="AC961" s="18">
        <v>2</v>
      </c>
      <c r="AD961" s="18">
        <v>0</v>
      </c>
      <c r="AE961" s="18">
        <v>0</v>
      </c>
      <c r="AN961" s="3">
        <f>SUM(Y961:AH961)</f>
        <v>5</v>
      </c>
      <c r="AO961" s="3">
        <v>7</v>
      </c>
      <c r="AP961" s="3">
        <v>0</v>
      </c>
      <c r="AR961" s="2" t="s">
        <v>357</v>
      </c>
    </row>
    <row r="962" spans="1:44" ht="12.75" customHeight="1">
      <c r="A962" s="4">
        <v>17640</v>
      </c>
      <c r="C962" s="2" t="s">
        <v>153</v>
      </c>
      <c r="E962" s="18">
        <v>0</v>
      </c>
      <c r="F962" s="18">
        <v>0</v>
      </c>
      <c r="G962" s="18">
        <v>1</v>
      </c>
      <c r="H962" s="18">
        <v>1</v>
      </c>
      <c r="I962" s="18">
        <v>0</v>
      </c>
      <c r="J962" s="18">
        <v>0</v>
      </c>
      <c r="T962" s="3">
        <v>2</v>
      </c>
      <c r="U962" s="3">
        <v>3</v>
      </c>
      <c r="V962" s="3">
        <v>4</v>
      </c>
      <c r="X962" s="2" t="s">
        <v>75</v>
      </c>
      <c r="Y962" s="18">
        <v>0</v>
      </c>
      <c r="Z962" s="18">
        <v>0</v>
      </c>
      <c r="AA962" s="18">
        <v>3</v>
      </c>
      <c r="AB962" s="18">
        <v>2</v>
      </c>
      <c r="AC962" s="18">
        <v>0</v>
      </c>
      <c r="AD962" s="18">
        <v>2</v>
      </c>
      <c r="AN962" s="3">
        <v>7</v>
      </c>
      <c r="AO962" s="3">
        <v>10</v>
      </c>
      <c r="AP962" s="3">
        <v>1</v>
      </c>
      <c r="AR962" s="2" t="s">
        <v>346</v>
      </c>
    </row>
    <row r="963" spans="1:44" ht="12.75" customHeight="1">
      <c r="A963" s="4">
        <v>18015</v>
      </c>
      <c r="B963" s="2" t="s">
        <v>152</v>
      </c>
      <c r="C963" s="2" t="s">
        <v>153</v>
      </c>
      <c r="E963" s="18">
        <v>0</v>
      </c>
      <c r="F963" s="18">
        <v>0</v>
      </c>
      <c r="G963" s="18">
        <v>0</v>
      </c>
      <c r="H963" s="18">
        <v>2</v>
      </c>
      <c r="I963" s="18">
        <v>2</v>
      </c>
      <c r="J963" s="18">
        <v>0</v>
      </c>
      <c r="K963" s="18">
        <v>0</v>
      </c>
      <c r="T963" s="3">
        <v>4</v>
      </c>
      <c r="U963" s="3">
        <v>8</v>
      </c>
      <c r="V963" s="3">
        <v>5</v>
      </c>
      <c r="X963" s="2" t="s">
        <v>409</v>
      </c>
      <c r="Y963" s="18">
        <v>0</v>
      </c>
      <c r="Z963" s="18">
        <v>0</v>
      </c>
      <c r="AA963" s="18">
        <v>1</v>
      </c>
      <c r="AB963" s="18">
        <v>0</v>
      </c>
      <c r="AC963" s="18">
        <v>0</v>
      </c>
      <c r="AD963" s="18">
        <v>0</v>
      </c>
      <c r="AE963" s="18">
        <v>1</v>
      </c>
      <c r="AN963" s="3">
        <v>2</v>
      </c>
      <c r="AO963" s="3">
        <v>4</v>
      </c>
      <c r="AP963" s="3">
        <v>2</v>
      </c>
      <c r="AR963" s="2" t="s">
        <v>332</v>
      </c>
    </row>
    <row r="964" spans="1:44" ht="12.75" customHeight="1">
      <c r="A964" s="4">
        <v>18378</v>
      </c>
      <c r="B964" s="2" t="s">
        <v>152</v>
      </c>
      <c r="C964" s="2" t="s">
        <v>153</v>
      </c>
      <c r="E964" s="18">
        <v>0</v>
      </c>
      <c r="F964" s="18">
        <v>3</v>
      </c>
      <c r="G964" s="18">
        <v>1</v>
      </c>
      <c r="H964" s="18">
        <v>0</v>
      </c>
      <c r="I964" s="18">
        <v>2</v>
      </c>
      <c r="J964" s="18">
        <v>2</v>
      </c>
      <c r="K964" s="18">
        <v>2</v>
      </c>
      <c r="T964" s="3">
        <f aca="true" t="shared" si="34" ref="T964:T969">SUM(E964:M964)</f>
        <v>10</v>
      </c>
      <c r="U964" s="3">
        <v>8</v>
      </c>
      <c r="V964" s="3">
        <v>2</v>
      </c>
      <c r="X964" s="2" t="s">
        <v>409</v>
      </c>
      <c r="Y964" s="18">
        <v>0</v>
      </c>
      <c r="Z964" s="18">
        <v>2</v>
      </c>
      <c r="AA964" s="18">
        <v>0</v>
      </c>
      <c r="AB964" s="18">
        <v>1</v>
      </c>
      <c r="AC964" s="18">
        <v>0</v>
      </c>
      <c r="AD964" s="18">
        <v>0</v>
      </c>
      <c r="AE964" s="18">
        <v>0</v>
      </c>
      <c r="AN964" s="3">
        <v>3</v>
      </c>
      <c r="AO964" s="3">
        <v>1</v>
      </c>
      <c r="AP964" s="3">
        <v>7</v>
      </c>
      <c r="AR964" s="2" t="s">
        <v>1932</v>
      </c>
    </row>
    <row r="965" spans="1:44" ht="12.75" customHeight="1">
      <c r="A965" s="4">
        <f>DATE(51,4,25)</f>
        <v>18743</v>
      </c>
      <c r="B965" s="2" t="s">
        <v>152</v>
      </c>
      <c r="C965" s="2" t="s">
        <v>153</v>
      </c>
      <c r="E965" s="18">
        <v>0</v>
      </c>
      <c r="F965" s="18">
        <v>2</v>
      </c>
      <c r="G965" s="18">
        <v>0</v>
      </c>
      <c r="H965" s="18">
        <v>0</v>
      </c>
      <c r="I965" s="18">
        <v>0</v>
      </c>
      <c r="J965" s="18">
        <v>2</v>
      </c>
      <c r="K965" s="18">
        <v>1</v>
      </c>
      <c r="T965" s="3">
        <f t="shared" si="34"/>
        <v>5</v>
      </c>
      <c r="U965" s="3">
        <v>8</v>
      </c>
      <c r="V965" s="3">
        <v>1</v>
      </c>
      <c r="X965" s="2" t="s">
        <v>1942</v>
      </c>
      <c r="Y965" s="18">
        <v>0</v>
      </c>
      <c r="Z965" s="18">
        <v>1</v>
      </c>
      <c r="AA965" s="18">
        <v>0</v>
      </c>
      <c r="AB965" s="18">
        <v>1</v>
      </c>
      <c r="AC965" s="18">
        <v>0</v>
      </c>
      <c r="AD965" s="18">
        <v>0</v>
      </c>
      <c r="AE965" s="18">
        <v>0</v>
      </c>
      <c r="AN965" s="3">
        <v>2</v>
      </c>
      <c r="AO965" s="3">
        <v>6</v>
      </c>
      <c r="AP965" s="3">
        <v>1</v>
      </c>
      <c r="AR965" s="2" t="s">
        <v>1943</v>
      </c>
    </row>
    <row r="966" spans="1:44" ht="12.75" customHeight="1">
      <c r="A966" s="4">
        <f>DATE(52,4,22)</f>
        <v>19106</v>
      </c>
      <c r="C966" s="2" t="s">
        <v>153</v>
      </c>
      <c r="E966" s="18">
        <v>0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1</v>
      </c>
      <c r="T966" s="3">
        <f t="shared" si="34"/>
        <v>1</v>
      </c>
      <c r="U966" s="3">
        <v>1</v>
      </c>
      <c r="V966" s="3">
        <v>4</v>
      </c>
      <c r="X966" s="2" t="s">
        <v>1947</v>
      </c>
      <c r="Y966" s="18">
        <v>0</v>
      </c>
      <c r="Z966" s="18">
        <v>0</v>
      </c>
      <c r="AA966" s="18">
        <v>3</v>
      </c>
      <c r="AB966" s="18">
        <v>0</v>
      </c>
      <c r="AC966" s="18">
        <v>0</v>
      </c>
      <c r="AD966" s="18">
        <v>2</v>
      </c>
      <c r="AE966" s="18">
        <v>0</v>
      </c>
      <c r="AN966" s="3">
        <v>5</v>
      </c>
      <c r="AO966" s="3">
        <v>7</v>
      </c>
      <c r="AP966" s="3">
        <v>1</v>
      </c>
      <c r="AR966" s="2" t="s">
        <v>634</v>
      </c>
    </row>
    <row r="967" spans="1:44" ht="12.75" customHeight="1">
      <c r="A967" s="4">
        <f>DATE(52,5,14)</f>
        <v>19128</v>
      </c>
      <c r="B967" s="2" t="s">
        <v>152</v>
      </c>
      <c r="C967" s="2" t="s">
        <v>153</v>
      </c>
      <c r="E967" s="18">
        <v>0</v>
      </c>
      <c r="F967" s="18">
        <v>0</v>
      </c>
      <c r="G967" s="18">
        <v>0</v>
      </c>
      <c r="H967" s="18">
        <v>0</v>
      </c>
      <c r="I967" s="18">
        <v>0</v>
      </c>
      <c r="J967" s="18">
        <v>2</v>
      </c>
      <c r="K967" s="18">
        <v>1</v>
      </c>
      <c r="T967" s="3">
        <f t="shared" si="34"/>
        <v>3</v>
      </c>
      <c r="U967" s="3">
        <v>6</v>
      </c>
      <c r="V967" s="3">
        <v>2</v>
      </c>
      <c r="X967" s="2" t="s">
        <v>641</v>
      </c>
      <c r="Y967" s="18">
        <v>1</v>
      </c>
      <c r="Z967" s="18">
        <v>0</v>
      </c>
      <c r="AA967" s="18">
        <v>0</v>
      </c>
      <c r="AB967" s="18">
        <v>0</v>
      </c>
      <c r="AC967" s="18">
        <v>3</v>
      </c>
      <c r="AD967" s="18">
        <v>0</v>
      </c>
      <c r="AE967" s="18" t="s">
        <v>158</v>
      </c>
      <c r="AN967" s="3">
        <v>4</v>
      </c>
      <c r="AO967" s="3">
        <v>5</v>
      </c>
      <c r="AP967" s="3">
        <v>2</v>
      </c>
      <c r="AR967" s="2" t="s">
        <v>642</v>
      </c>
    </row>
    <row r="968" spans="1:44" ht="12.75" customHeight="1">
      <c r="A968" s="4">
        <f>DATE(53,5,1)</f>
        <v>19480</v>
      </c>
      <c r="C968" s="2" t="s">
        <v>153</v>
      </c>
      <c r="E968" s="18">
        <v>0</v>
      </c>
      <c r="F968" s="18">
        <v>4</v>
      </c>
      <c r="G968" s="18">
        <v>0</v>
      </c>
      <c r="H968" s="18">
        <v>2</v>
      </c>
      <c r="I968" s="18">
        <v>0</v>
      </c>
      <c r="J968" s="18">
        <v>0</v>
      </c>
      <c r="K968" s="18" t="s">
        <v>162</v>
      </c>
      <c r="T968" s="3">
        <f t="shared" si="34"/>
        <v>6</v>
      </c>
      <c r="U968" s="3">
        <v>10</v>
      </c>
      <c r="V968" s="3">
        <v>0</v>
      </c>
      <c r="X968" s="2" t="s">
        <v>419</v>
      </c>
      <c r="Y968" s="18">
        <v>0</v>
      </c>
      <c r="Z968" s="18">
        <v>0</v>
      </c>
      <c r="AA968" s="18">
        <v>4</v>
      </c>
      <c r="AB968" s="18">
        <v>0</v>
      </c>
      <c r="AC968" s="18">
        <v>0</v>
      </c>
      <c r="AD968" s="18">
        <v>0</v>
      </c>
      <c r="AE968" s="18">
        <v>0</v>
      </c>
      <c r="AN968" s="3">
        <v>4</v>
      </c>
      <c r="AO968" s="3">
        <v>6</v>
      </c>
      <c r="AP968" s="3">
        <v>1</v>
      </c>
      <c r="AR968" s="2" t="s">
        <v>5</v>
      </c>
    </row>
    <row r="969" spans="1:44" ht="12.75" customHeight="1">
      <c r="A969" s="4">
        <f>DATE(53,5,4)</f>
        <v>19483</v>
      </c>
      <c r="B969" s="2" t="s">
        <v>152</v>
      </c>
      <c r="C969" s="2" t="s">
        <v>153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1</v>
      </c>
      <c r="K969" s="18">
        <v>0</v>
      </c>
      <c r="T969" s="3">
        <f t="shared" si="34"/>
        <v>1</v>
      </c>
      <c r="U969" s="3">
        <v>7</v>
      </c>
      <c r="V969" s="3">
        <v>5</v>
      </c>
      <c r="X969" s="2" t="s">
        <v>2</v>
      </c>
      <c r="Y969" s="18">
        <v>2</v>
      </c>
      <c r="Z969" s="18">
        <v>0</v>
      </c>
      <c r="AA969" s="18">
        <v>4</v>
      </c>
      <c r="AB969" s="18">
        <v>0</v>
      </c>
      <c r="AC969" s="18">
        <v>0</v>
      </c>
      <c r="AD969" s="18">
        <v>0</v>
      </c>
      <c r="AE969" s="18" t="s">
        <v>162</v>
      </c>
      <c r="AN969" s="3">
        <v>6</v>
      </c>
      <c r="AO969" s="3">
        <v>4</v>
      </c>
      <c r="AP969" s="3">
        <v>0</v>
      </c>
      <c r="AR969" s="2" t="s">
        <v>648</v>
      </c>
    </row>
    <row r="970" spans="1:44" ht="12.75" customHeight="1">
      <c r="A970" s="4">
        <f>DATE(54,4,30)</f>
        <v>19844</v>
      </c>
      <c r="B970" s="2" t="s">
        <v>152</v>
      </c>
      <c r="C970" s="2" t="s">
        <v>153</v>
      </c>
      <c r="E970" s="18">
        <v>1</v>
      </c>
      <c r="F970" s="18">
        <v>0</v>
      </c>
      <c r="G970" s="18">
        <v>0</v>
      </c>
      <c r="H970" s="18">
        <v>1</v>
      </c>
      <c r="I970" s="18">
        <v>0</v>
      </c>
      <c r="J970" s="18">
        <v>4</v>
      </c>
      <c r="K970" s="18">
        <v>2</v>
      </c>
      <c r="T970" s="3">
        <v>8</v>
      </c>
      <c r="U970" s="3">
        <v>15</v>
      </c>
      <c r="V970" s="3">
        <v>4</v>
      </c>
      <c r="X970" s="2" t="s">
        <v>4</v>
      </c>
      <c r="Y970" s="18">
        <v>1</v>
      </c>
      <c r="Z970" s="18">
        <v>0</v>
      </c>
      <c r="AA970" s="18">
        <v>6</v>
      </c>
      <c r="AB970" s="18">
        <v>3</v>
      </c>
      <c r="AC970" s="18">
        <v>1</v>
      </c>
      <c r="AD970" s="18">
        <v>0</v>
      </c>
      <c r="AE970" s="18" t="s">
        <v>162</v>
      </c>
      <c r="AN970" s="3">
        <v>11</v>
      </c>
      <c r="AO970" s="3">
        <v>7</v>
      </c>
      <c r="AP970" s="3">
        <v>0</v>
      </c>
      <c r="AR970" s="2" t="s">
        <v>5</v>
      </c>
    </row>
    <row r="971" spans="1:44" ht="12.75" customHeight="1">
      <c r="A971" s="4">
        <f>DATE(54,5,14)</f>
        <v>19858</v>
      </c>
      <c r="C971" s="2" t="s">
        <v>153</v>
      </c>
      <c r="E971" s="18">
        <v>3</v>
      </c>
      <c r="F971" s="18">
        <v>0</v>
      </c>
      <c r="G971" s="18">
        <v>0</v>
      </c>
      <c r="H971" s="18">
        <v>0</v>
      </c>
      <c r="I971" s="18">
        <v>0</v>
      </c>
      <c r="J971" s="18">
        <v>4</v>
      </c>
      <c r="K971" s="18">
        <v>0</v>
      </c>
      <c r="T971" s="3">
        <v>7</v>
      </c>
      <c r="U971" s="3">
        <v>8</v>
      </c>
      <c r="V971" s="3">
        <v>4</v>
      </c>
      <c r="X971" s="2" t="s">
        <v>8</v>
      </c>
      <c r="Y971" s="18">
        <v>0</v>
      </c>
      <c r="Z971" s="18">
        <v>3</v>
      </c>
      <c r="AA971" s="18">
        <v>0</v>
      </c>
      <c r="AB971" s="18">
        <v>3</v>
      </c>
      <c r="AC971" s="18">
        <v>0</v>
      </c>
      <c r="AD971" s="18">
        <v>2</v>
      </c>
      <c r="AE971" s="18">
        <v>0</v>
      </c>
      <c r="AN971" s="3">
        <v>8</v>
      </c>
      <c r="AO971" s="3">
        <v>12</v>
      </c>
      <c r="AP971" s="3">
        <v>2</v>
      </c>
      <c r="AR971" s="2" t="s">
        <v>5</v>
      </c>
    </row>
    <row r="972" spans="1:44" ht="12.75" customHeight="1">
      <c r="A972" s="4">
        <f>DATE(55,4,29)</f>
        <v>20208</v>
      </c>
      <c r="C972" s="2" t="s">
        <v>153</v>
      </c>
      <c r="E972" s="18">
        <v>0</v>
      </c>
      <c r="F972" s="18">
        <v>2</v>
      </c>
      <c r="G972" s="18">
        <v>0</v>
      </c>
      <c r="H972" s="18">
        <v>0</v>
      </c>
      <c r="I972" s="18">
        <v>0</v>
      </c>
      <c r="J972" s="18">
        <v>0</v>
      </c>
      <c r="K972" s="18">
        <v>0</v>
      </c>
      <c r="T972" s="3">
        <v>2</v>
      </c>
      <c r="U972" s="3">
        <v>7</v>
      </c>
      <c r="V972" s="3">
        <v>2</v>
      </c>
      <c r="X972" s="2" t="s">
        <v>4</v>
      </c>
      <c r="Y972" s="18">
        <v>0</v>
      </c>
      <c r="Z972" s="18">
        <v>0</v>
      </c>
      <c r="AA972" s="18">
        <v>0</v>
      </c>
      <c r="AB972" s="18">
        <v>4</v>
      </c>
      <c r="AC972" s="18">
        <v>1</v>
      </c>
      <c r="AD972" s="18">
        <v>0</v>
      </c>
      <c r="AE972" s="18">
        <v>0</v>
      </c>
      <c r="AN972" s="3">
        <v>5</v>
      </c>
      <c r="AO972" s="3">
        <v>7</v>
      </c>
      <c r="AP972" s="3">
        <v>2</v>
      </c>
      <c r="AR972" s="2" t="s">
        <v>669</v>
      </c>
    </row>
    <row r="973" spans="1:44" ht="12.75" customHeight="1">
      <c r="A973" s="4">
        <f>DATE(55,5,13)</f>
        <v>20222</v>
      </c>
      <c r="B973" s="2" t="s">
        <v>152</v>
      </c>
      <c r="C973" s="2" t="s">
        <v>153</v>
      </c>
      <c r="E973" s="18">
        <v>3</v>
      </c>
      <c r="F973" s="18">
        <v>0</v>
      </c>
      <c r="G973" s="18">
        <v>0</v>
      </c>
      <c r="H973" s="18">
        <v>0</v>
      </c>
      <c r="I973" s="18">
        <v>0</v>
      </c>
      <c r="J973" s="18">
        <v>3</v>
      </c>
      <c r="K973" s="18">
        <v>1</v>
      </c>
      <c r="T973" s="3">
        <v>7</v>
      </c>
      <c r="U973" s="3">
        <v>9</v>
      </c>
      <c r="V973" s="3">
        <v>3</v>
      </c>
      <c r="X973" s="2" t="s">
        <v>663</v>
      </c>
      <c r="Y973" s="18">
        <v>0</v>
      </c>
      <c r="Z973" s="18">
        <v>0</v>
      </c>
      <c r="AA973" s="18">
        <v>3</v>
      </c>
      <c r="AB973" s="18">
        <v>0</v>
      </c>
      <c r="AC973" s="18">
        <v>0</v>
      </c>
      <c r="AD973" s="18">
        <v>0</v>
      </c>
      <c r="AE973" s="18">
        <v>0</v>
      </c>
      <c r="AN973" s="3">
        <v>3</v>
      </c>
      <c r="AO973" s="3">
        <v>5</v>
      </c>
      <c r="AP973" s="3">
        <v>2</v>
      </c>
      <c r="AR973" s="2" t="s">
        <v>16</v>
      </c>
    </row>
    <row r="974" spans="1:44" ht="12.75" customHeight="1">
      <c r="A974" s="4">
        <f>DATE(56,4,25)</f>
        <v>20570</v>
      </c>
      <c r="B974" s="2" t="s">
        <v>152</v>
      </c>
      <c r="C974" s="2" t="s">
        <v>153</v>
      </c>
      <c r="E974" s="18">
        <v>1</v>
      </c>
      <c r="F974" s="18">
        <v>1</v>
      </c>
      <c r="G974" s="18">
        <v>0</v>
      </c>
      <c r="H974" s="18">
        <v>0</v>
      </c>
      <c r="I974" s="18">
        <v>1</v>
      </c>
      <c r="J974" s="18">
        <v>0</v>
      </c>
      <c r="K974" s="18">
        <v>0</v>
      </c>
      <c r="T974" s="3">
        <v>3</v>
      </c>
      <c r="U974" s="3">
        <v>10</v>
      </c>
      <c r="V974" s="3">
        <v>4</v>
      </c>
      <c r="X974" s="2" t="s">
        <v>677</v>
      </c>
      <c r="Y974" s="18">
        <v>0</v>
      </c>
      <c r="Z974" s="18">
        <v>3</v>
      </c>
      <c r="AA974" s="18">
        <v>0</v>
      </c>
      <c r="AB974" s="18">
        <v>4</v>
      </c>
      <c r="AC974" s="18">
        <v>2</v>
      </c>
      <c r="AD974" s="18">
        <v>0</v>
      </c>
      <c r="AN974" s="3">
        <v>9</v>
      </c>
      <c r="AO974" s="3">
        <v>5</v>
      </c>
      <c r="AP974" s="3">
        <v>3</v>
      </c>
      <c r="AR974" s="2" t="s">
        <v>678</v>
      </c>
    </row>
    <row r="975" spans="1:44" ht="12.75" customHeight="1">
      <c r="A975" s="4">
        <f>DATE(57,4,29)</f>
        <v>20939</v>
      </c>
      <c r="C975" s="2" t="s">
        <v>153</v>
      </c>
      <c r="E975" s="18">
        <v>4</v>
      </c>
      <c r="F975" s="18">
        <v>1</v>
      </c>
      <c r="G975" s="18">
        <v>0</v>
      </c>
      <c r="H975" s="18">
        <v>5</v>
      </c>
      <c r="I975" s="18">
        <v>2</v>
      </c>
      <c r="J975" s="18">
        <v>0</v>
      </c>
      <c r="K975" s="18" t="s">
        <v>162</v>
      </c>
      <c r="T975" s="3">
        <v>12</v>
      </c>
      <c r="U975" s="3">
        <v>9</v>
      </c>
      <c r="V975" s="3">
        <v>2</v>
      </c>
      <c r="X975" s="2" t="s">
        <v>674</v>
      </c>
      <c r="Y975" s="18">
        <v>0</v>
      </c>
      <c r="Z975" s="18">
        <v>0</v>
      </c>
      <c r="AA975" s="18">
        <v>0</v>
      </c>
      <c r="AB975" s="18">
        <v>1</v>
      </c>
      <c r="AC975" s="18">
        <v>2</v>
      </c>
      <c r="AD975" s="18">
        <v>0</v>
      </c>
      <c r="AE975" s="18">
        <v>0</v>
      </c>
      <c r="AN975" s="3">
        <v>3</v>
      </c>
      <c r="AO975" s="3">
        <v>9</v>
      </c>
      <c r="AP975" s="3">
        <v>5</v>
      </c>
      <c r="AR975" s="2" t="s">
        <v>228</v>
      </c>
    </row>
    <row r="976" spans="1:44" ht="12.75" customHeight="1">
      <c r="A976" s="4">
        <f>DATE(57,5,6)</f>
        <v>20946</v>
      </c>
      <c r="B976" s="2" t="s">
        <v>152</v>
      </c>
      <c r="C976" s="2" t="s">
        <v>153</v>
      </c>
      <c r="E976" s="18">
        <v>0</v>
      </c>
      <c r="F976" s="18">
        <v>0</v>
      </c>
      <c r="G976" s="18">
        <v>0</v>
      </c>
      <c r="H976" s="18">
        <v>2</v>
      </c>
      <c r="I976" s="18">
        <v>0</v>
      </c>
      <c r="J976" s="18">
        <v>1</v>
      </c>
      <c r="K976" s="18">
        <v>0</v>
      </c>
      <c r="T976" s="3">
        <v>3</v>
      </c>
      <c r="U976" s="3">
        <v>11</v>
      </c>
      <c r="V976" s="3">
        <v>4</v>
      </c>
      <c r="X976" s="2" t="s">
        <v>694</v>
      </c>
      <c r="Y976" s="18">
        <v>0</v>
      </c>
      <c r="Z976" s="18">
        <v>3</v>
      </c>
      <c r="AA976" s="18">
        <v>1</v>
      </c>
      <c r="AB976" s="18">
        <v>1</v>
      </c>
      <c r="AC976" s="18">
        <v>4</v>
      </c>
      <c r="AD976" s="18">
        <v>3</v>
      </c>
      <c r="AE976" s="18" t="s">
        <v>162</v>
      </c>
      <c r="AN976" s="3">
        <v>12</v>
      </c>
      <c r="AO976" s="3">
        <v>13</v>
      </c>
      <c r="AP976" s="3">
        <v>2</v>
      </c>
      <c r="AR976" s="2" t="s">
        <v>229</v>
      </c>
    </row>
    <row r="977" spans="1:44" ht="12.75" customHeight="1">
      <c r="A977" s="4">
        <f>DATE(58,5,1)</f>
        <v>21306</v>
      </c>
      <c r="B977" s="2" t="s">
        <v>152</v>
      </c>
      <c r="C977" s="2" t="s">
        <v>153</v>
      </c>
      <c r="E977" s="18">
        <v>1</v>
      </c>
      <c r="F977" s="18">
        <v>2</v>
      </c>
      <c r="G977" s="18">
        <v>1</v>
      </c>
      <c r="H977" s="18">
        <v>0</v>
      </c>
      <c r="I977" s="18">
        <v>0</v>
      </c>
      <c r="J977" s="18">
        <v>0</v>
      </c>
      <c r="K977" s="18">
        <v>0</v>
      </c>
      <c r="T977" s="3">
        <v>4</v>
      </c>
      <c r="U977" s="3">
        <v>4</v>
      </c>
      <c r="V977" s="3">
        <v>2</v>
      </c>
      <c r="X977" s="2" t="s">
        <v>704</v>
      </c>
      <c r="Y977" s="18">
        <v>1</v>
      </c>
      <c r="Z977" s="18">
        <v>2</v>
      </c>
      <c r="AA977" s="18">
        <v>1</v>
      </c>
      <c r="AB977" s="18">
        <v>1</v>
      </c>
      <c r="AC977" s="18">
        <v>0</v>
      </c>
      <c r="AD977" s="18">
        <v>1</v>
      </c>
      <c r="AE977" s="18" t="s">
        <v>162</v>
      </c>
      <c r="AN977" s="3">
        <v>6</v>
      </c>
      <c r="AO977" s="3">
        <v>11</v>
      </c>
      <c r="AP977" s="3">
        <v>2</v>
      </c>
      <c r="AR977" s="2" t="s">
        <v>705</v>
      </c>
    </row>
    <row r="978" spans="1:44" ht="12.75" customHeight="1">
      <c r="A978" s="4">
        <f>DATE(58,5,19)</f>
        <v>21324</v>
      </c>
      <c r="C978" s="2" t="s">
        <v>153</v>
      </c>
      <c r="E978" s="18">
        <v>0</v>
      </c>
      <c r="F978" s="18">
        <v>0</v>
      </c>
      <c r="G978" s="18">
        <v>0</v>
      </c>
      <c r="H978" s="18">
        <v>2</v>
      </c>
      <c r="I978" s="18">
        <v>0</v>
      </c>
      <c r="J978" s="18">
        <v>0</v>
      </c>
      <c r="K978" s="18">
        <v>0</v>
      </c>
      <c r="T978" s="3">
        <v>2</v>
      </c>
      <c r="U978" s="3">
        <v>5</v>
      </c>
      <c r="V978" s="3">
        <v>4</v>
      </c>
      <c r="X978" s="2" t="s">
        <v>674</v>
      </c>
      <c r="Y978" s="18">
        <v>3</v>
      </c>
      <c r="Z978" s="18">
        <v>0</v>
      </c>
      <c r="AA978" s="18">
        <v>0</v>
      </c>
      <c r="AB978" s="18">
        <v>0</v>
      </c>
      <c r="AC978" s="18">
        <v>1</v>
      </c>
      <c r="AD978" s="18">
        <v>0</v>
      </c>
      <c r="AE978" s="18">
        <v>0</v>
      </c>
      <c r="AN978" s="3">
        <v>4</v>
      </c>
      <c r="AO978" s="3">
        <v>6</v>
      </c>
      <c r="AP978" s="3">
        <v>1</v>
      </c>
      <c r="AR978" s="2" t="s">
        <v>709</v>
      </c>
    </row>
    <row r="979" spans="1:44" ht="12.75" customHeight="1">
      <c r="A979" s="4">
        <f>DATE(59,5,1)</f>
        <v>21671</v>
      </c>
      <c r="C979" s="2" t="s">
        <v>153</v>
      </c>
      <c r="E979" s="18">
        <v>0</v>
      </c>
      <c r="F979" s="18">
        <v>0</v>
      </c>
      <c r="G979" s="18">
        <v>0</v>
      </c>
      <c r="H979" s="18">
        <v>0</v>
      </c>
      <c r="I979" s="18">
        <v>0</v>
      </c>
      <c r="J979" s="18">
        <v>0</v>
      </c>
      <c r="K979" s="18">
        <v>1</v>
      </c>
      <c r="T979" s="3">
        <v>1</v>
      </c>
      <c r="U979" s="3">
        <v>5</v>
      </c>
      <c r="V979" s="3">
        <v>4</v>
      </c>
      <c r="X979" s="2" t="s">
        <v>719</v>
      </c>
      <c r="Y979" s="18">
        <v>4</v>
      </c>
      <c r="Z979" s="18">
        <v>2</v>
      </c>
      <c r="AA979" s="18">
        <v>1</v>
      </c>
      <c r="AB979" s="18">
        <v>1</v>
      </c>
      <c r="AC979" s="18">
        <v>0</v>
      </c>
      <c r="AD979" s="18">
        <v>6</v>
      </c>
      <c r="AE979" s="18">
        <v>0</v>
      </c>
      <c r="AN979" s="3">
        <v>14</v>
      </c>
      <c r="AO979" s="3">
        <v>14</v>
      </c>
      <c r="AP979" s="3">
        <v>2</v>
      </c>
      <c r="AR979" s="2" t="s">
        <v>709</v>
      </c>
    </row>
    <row r="980" spans="1:44" ht="12.75" customHeight="1">
      <c r="A980" s="4">
        <f>DATE(59,5,4)</f>
        <v>21674</v>
      </c>
      <c r="B980" s="2" t="s">
        <v>152</v>
      </c>
      <c r="C980" s="2" t="s">
        <v>153</v>
      </c>
      <c r="E980" s="18">
        <v>0</v>
      </c>
      <c r="F980" s="18">
        <v>0</v>
      </c>
      <c r="G980" s="18">
        <v>1</v>
      </c>
      <c r="H980" s="18">
        <v>0</v>
      </c>
      <c r="I980" s="18">
        <v>0</v>
      </c>
      <c r="J980" s="18">
        <v>0</v>
      </c>
      <c r="K980" s="18">
        <v>0</v>
      </c>
      <c r="T980" s="3">
        <v>1</v>
      </c>
      <c r="U980" s="3">
        <v>4</v>
      </c>
      <c r="V980" s="3">
        <v>4</v>
      </c>
      <c r="X980" s="2" t="s">
        <v>720</v>
      </c>
      <c r="Y980" s="18">
        <v>2</v>
      </c>
      <c r="Z980" s="18">
        <v>2</v>
      </c>
      <c r="AA980" s="18">
        <v>0</v>
      </c>
      <c r="AB980" s="18">
        <v>2</v>
      </c>
      <c r="AC980" s="18">
        <v>0</v>
      </c>
      <c r="AD980" s="18">
        <v>0</v>
      </c>
      <c r="AE980" s="18" t="s">
        <v>162</v>
      </c>
      <c r="AN980" s="3">
        <v>6</v>
      </c>
      <c r="AO980" s="3">
        <v>5</v>
      </c>
      <c r="AP980" s="3">
        <v>4</v>
      </c>
      <c r="AR980" s="2" t="s">
        <v>721</v>
      </c>
    </row>
    <row r="981" spans="1:44" ht="12.75" customHeight="1">
      <c r="A981" s="4">
        <f>DATE(60,4,27)</f>
        <v>22033</v>
      </c>
      <c r="B981" s="2" t="s">
        <v>152</v>
      </c>
      <c r="C981" s="2" t="s">
        <v>236</v>
      </c>
      <c r="E981" s="18">
        <v>0</v>
      </c>
      <c r="F981" s="18">
        <v>0</v>
      </c>
      <c r="G981" s="18">
        <v>0</v>
      </c>
      <c r="H981" s="18">
        <v>0</v>
      </c>
      <c r="I981" s="18">
        <v>3</v>
      </c>
      <c r="J981" s="18">
        <v>0</v>
      </c>
      <c r="K981" s="18">
        <v>0</v>
      </c>
      <c r="T981" s="3">
        <v>3</v>
      </c>
      <c r="U981" s="3">
        <v>3</v>
      </c>
      <c r="V981" s="3">
        <v>2</v>
      </c>
      <c r="X981" s="2" t="s">
        <v>734</v>
      </c>
      <c r="Y981" s="18">
        <v>0</v>
      </c>
      <c r="Z981" s="18">
        <v>2</v>
      </c>
      <c r="AA981" s="18">
        <v>0</v>
      </c>
      <c r="AB981" s="18">
        <v>2</v>
      </c>
      <c r="AC981" s="18">
        <v>0</v>
      </c>
      <c r="AD981" s="18">
        <v>0</v>
      </c>
      <c r="AE981" s="18" t="s">
        <v>162</v>
      </c>
      <c r="AN981" s="3">
        <v>4</v>
      </c>
      <c r="AO981" s="3">
        <v>9</v>
      </c>
      <c r="AP981" s="3">
        <v>3</v>
      </c>
      <c r="AR981" s="2" t="s">
        <v>735</v>
      </c>
    </row>
    <row r="982" spans="1:44" ht="12.75" customHeight="1">
      <c r="A982" s="4">
        <f>DATE(61,4,26)</f>
        <v>22397</v>
      </c>
      <c r="B982" s="2" t="s">
        <v>152</v>
      </c>
      <c r="C982" s="2" t="s">
        <v>236</v>
      </c>
      <c r="E982" s="18">
        <v>0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T982" s="3">
        <v>0</v>
      </c>
      <c r="U982" s="3">
        <v>2</v>
      </c>
      <c r="V982" s="3">
        <v>5</v>
      </c>
      <c r="X982" s="2" t="s">
        <v>720</v>
      </c>
      <c r="Y982" s="18">
        <v>2</v>
      </c>
      <c r="Z982" s="18">
        <v>1</v>
      </c>
      <c r="AA982" s="18">
        <v>0</v>
      </c>
      <c r="AB982" s="18">
        <v>0</v>
      </c>
      <c r="AC982" s="18">
        <v>2</v>
      </c>
      <c r="AD982" s="18">
        <v>0</v>
      </c>
      <c r="AE982" s="18" t="s">
        <v>162</v>
      </c>
      <c r="AN982" s="3">
        <v>5</v>
      </c>
      <c r="AO982" s="3">
        <v>6</v>
      </c>
      <c r="AP982" s="3">
        <v>1</v>
      </c>
      <c r="AR982" s="2" t="s">
        <v>745</v>
      </c>
    </row>
    <row r="983" spans="1:44" ht="12.75" customHeight="1">
      <c r="A983" s="4">
        <f>DATE(61,5,10)</f>
        <v>22411</v>
      </c>
      <c r="C983" s="2" t="s">
        <v>236</v>
      </c>
      <c r="E983" s="18">
        <v>0</v>
      </c>
      <c r="F983" s="18">
        <v>0</v>
      </c>
      <c r="G983" s="18">
        <v>0</v>
      </c>
      <c r="H983" s="18">
        <v>0</v>
      </c>
      <c r="I983" s="18">
        <v>4</v>
      </c>
      <c r="J983" s="18">
        <v>0</v>
      </c>
      <c r="K983" s="18">
        <v>1</v>
      </c>
      <c r="T983" s="3">
        <v>5</v>
      </c>
      <c r="U983" s="3">
        <v>7</v>
      </c>
      <c r="V983" s="3">
        <v>3</v>
      </c>
      <c r="X983" s="2" t="s">
        <v>748</v>
      </c>
      <c r="Y983" s="18">
        <v>0</v>
      </c>
      <c r="Z983" s="18">
        <v>0</v>
      </c>
      <c r="AA983" s="18">
        <v>2</v>
      </c>
      <c r="AB983" s="18">
        <v>1</v>
      </c>
      <c r="AC983" s="18">
        <v>1</v>
      </c>
      <c r="AD983" s="18">
        <v>0</v>
      </c>
      <c r="AE983" s="18">
        <v>0</v>
      </c>
      <c r="AN983" s="3">
        <v>4</v>
      </c>
      <c r="AO983" s="3">
        <v>8</v>
      </c>
      <c r="AP983" s="3">
        <v>2</v>
      </c>
      <c r="AR983" s="2" t="s">
        <v>755</v>
      </c>
    </row>
    <row r="984" spans="1:44" ht="12.75" customHeight="1">
      <c r="A984" s="4">
        <f>DATE(62,5,3)</f>
        <v>22769</v>
      </c>
      <c r="C984" s="2" t="s">
        <v>236</v>
      </c>
      <c r="E984" s="18">
        <v>0</v>
      </c>
      <c r="F984" s="18">
        <v>0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T984" s="3">
        <v>0</v>
      </c>
      <c r="U984" s="3">
        <v>6</v>
      </c>
      <c r="V984" s="3">
        <v>1</v>
      </c>
      <c r="X984" s="2" t="s">
        <v>788</v>
      </c>
      <c r="Y984" s="18">
        <v>1</v>
      </c>
      <c r="Z984" s="18">
        <v>0</v>
      </c>
      <c r="AA984" s="18">
        <v>0</v>
      </c>
      <c r="AB984" s="18">
        <v>1</v>
      </c>
      <c r="AC984" s="18">
        <v>0</v>
      </c>
      <c r="AD984" s="18">
        <v>0</v>
      </c>
      <c r="AE984" s="18">
        <v>0</v>
      </c>
      <c r="AN984" s="3">
        <v>2</v>
      </c>
      <c r="AO984" s="3">
        <v>7</v>
      </c>
      <c r="AP984" s="3">
        <v>1</v>
      </c>
      <c r="AR984" s="2" t="s">
        <v>795</v>
      </c>
    </row>
    <row r="985" spans="1:44" ht="12.75" customHeight="1">
      <c r="A985" s="4">
        <f>DATE(62,5,14)</f>
        <v>22780</v>
      </c>
      <c r="B985" s="2" t="s">
        <v>152</v>
      </c>
      <c r="C985" s="2" t="s">
        <v>236</v>
      </c>
      <c r="E985" s="18">
        <v>1</v>
      </c>
      <c r="F985" s="18">
        <v>0</v>
      </c>
      <c r="G985" s="18">
        <v>0</v>
      </c>
      <c r="H985" s="18">
        <v>0</v>
      </c>
      <c r="I985" s="18">
        <v>0</v>
      </c>
      <c r="J985" s="18">
        <v>5</v>
      </c>
      <c r="K985" s="18">
        <v>0</v>
      </c>
      <c r="T985" s="3">
        <v>6</v>
      </c>
      <c r="U985" s="3">
        <v>7</v>
      </c>
      <c r="V985" s="3">
        <v>9</v>
      </c>
      <c r="X985" s="2" t="s">
        <v>799</v>
      </c>
      <c r="Y985" s="18">
        <v>6</v>
      </c>
      <c r="Z985" s="18">
        <v>3</v>
      </c>
      <c r="AA985" s="18">
        <v>4</v>
      </c>
      <c r="AB985" s="18">
        <v>0</v>
      </c>
      <c r="AC985" s="18">
        <v>5</v>
      </c>
      <c r="AD985" s="18">
        <v>0</v>
      </c>
      <c r="AE985" s="18" t="s">
        <v>162</v>
      </c>
      <c r="AN985" s="3">
        <v>18</v>
      </c>
      <c r="AO985" s="3">
        <v>19</v>
      </c>
      <c r="AP985" s="3">
        <v>6</v>
      </c>
      <c r="AR985" s="2" t="s">
        <v>800</v>
      </c>
    </row>
    <row r="986" spans="1:44" ht="12.75" customHeight="1">
      <c r="A986" s="4">
        <f>DATE(63,4,29)</f>
        <v>23130</v>
      </c>
      <c r="B986" s="2" t="s">
        <v>152</v>
      </c>
      <c r="C986" s="2" t="s">
        <v>236</v>
      </c>
      <c r="E986" s="18">
        <v>0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2</v>
      </c>
      <c r="T986" s="3">
        <v>2</v>
      </c>
      <c r="U986" s="3">
        <v>7</v>
      </c>
      <c r="V986" s="3">
        <v>2</v>
      </c>
      <c r="X986" s="2" t="s">
        <v>812</v>
      </c>
      <c r="Y986" s="18">
        <v>0</v>
      </c>
      <c r="Z986" s="18">
        <v>0</v>
      </c>
      <c r="AA986" s="18">
        <v>1</v>
      </c>
      <c r="AB986" s="18">
        <v>3</v>
      </c>
      <c r="AC986" s="18">
        <v>0</v>
      </c>
      <c r="AD986" s="18">
        <v>0</v>
      </c>
      <c r="AE986" s="18" t="s">
        <v>162</v>
      </c>
      <c r="AN986" s="3">
        <v>4</v>
      </c>
      <c r="AO986" s="3">
        <v>5</v>
      </c>
      <c r="AP986" s="3">
        <v>6</v>
      </c>
      <c r="AR986" s="2" t="s">
        <v>813</v>
      </c>
    </row>
    <row r="987" spans="1:44" ht="12.75" customHeight="1">
      <c r="A987" s="4">
        <f>DATE(63,5,2)</f>
        <v>23133</v>
      </c>
      <c r="C987" s="2" t="s">
        <v>236</v>
      </c>
      <c r="E987" s="18">
        <v>0</v>
      </c>
      <c r="F987" s="18">
        <v>0</v>
      </c>
      <c r="G987" s="18">
        <v>1</v>
      </c>
      <c r="H987" s="18">
        <v>2</v>
      </c>
      <c r="I987" s="18">
        <v>1</v>
      </c>
      <c r="J987" s="18">
        <v>0</v>
      </c>
      <c r="K987" s="18">
        <v>0</v>
      </c>
      <c r="L987" s="18">
        <v>0</v>
      </c>
      <c r="T987" s="3">
        <v>4</v>
      </c>
      <c r="U987" s="3">
        <v>10</v>
      </c>
      <c r="V987" s="3">
        <v>5</v>
      </c>
      <c r="X987" s="2" t="s">
        <v>816</v>
      </c>
      <c r="Y987" s="18">
        <v>2</v>
      </c>
      <c r="Z987" s="18">
        <v>1</v>
      </c>
      <c r="AA987" s="18">
        <v>1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N987" s="3">
        <v>4</v>
      </c>
      <c r="AO987" s="3">
        <v>5</v>
      </c>
      <c r="AP987" s="3">
        <v>7</v>
      </c>
      <c r="AR987" s="2" t="s">
        <v>817</v>
      </c>
    </row>
    <row r="988" spans="1:44" ht="12.75" customHeight="1">
      <c r="A988" s="4">
        <f>DATE(64,4,23)</f>
        <v>23490</v>
      </c>
      <c r="C988" s="2" t="s">
        <v>236</v>
      </c>
      <c r="E988" s="18">
        <v>0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T988" s="3">
        <v>0</v>
      </c>
      <c r="U988" s="3">
        <v>3</v>
      </c>
      <c r="V988" s="3">
        <v>0</v>
      </c>
      <c r="X988" s="2" t="s">
        <v>829</v>
      </c>
      <c r="Y988" s="18">
        <v>0</v>
      </c>
      <c r="Z988" s="18">
        <v>1</v>
      </c>
      <c r="AA988" s="18">
        <v>0</v>
      </c>
      <c r="AB988" s="18">
        <v>1</v>
      </c>
      <c r="AC988" s="18">
        <v>2</v>
      </c>
      <c r="AD988" s="18">
        <v>1</v>
      </c>
      <c r="AE988" s="18" t="s">
        <v>162</v>
      </c>
      <c r="AN988" s="3">
        <v>5</v>
      </c>
      <c r="AO988" s="3">
        <v>9</v>
      </c>
      <c r="AP988" s="3">
        <v>0</v>
      </c>
      <c r="AR988" s="2" t="s">
        <v>830</v>
      </c>
    </row>
    <row r="989" spans="1:44" ht="12.75" customHeight="1">
      <c r="A989" s="4">
        <f>DATE(64,5,18)</f>
        <v>23515</v>
      </c>
      <c r="C989" s="2" t="s">
        <v>236</v>
      </c>
      <c r="E989" s="18">
        <v>0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0</v>
      </c>
      <c r="T989" s="3">
        <v>0</v>
      </c>
      <c r="U989" s="3">
        <v>6</v>
      </c>
      <c r="V989" s="3">
        <v>0</v>
      </c>
      <c r="X989" s="2" t="s">
        <v>816</v>
      </c>
      <c r="Y989" s="18">
        <v>0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  <c r="AE989" s="18">
        <v>0</v>
      </c>
      <c r="AF989" s="18">
        <v>1</v>
      </c>
      <c r="AN989" s="3">
        <v>1</v>
      </c>
      <c r="AO989" s="3">
        <v>6</v>
      </c>
      <c r="AP989" s="3">
        <v>0</v>
      </c>
      <c r="AR989" s="2" t="s">
        <v>238</v>
      </c>
    </row>
    <row r="990" spans="1:44" ht="12.75" customHeight="1">
      <c r="A990" s="4">
        <f>DATE(65,4,8)</f>
        <v>23840</v>
      </c>
      <c r="B990" s="2" t="s">
        <v>152</v>
      </c>
      <c r="C990" s="2" t="s">
        <v>236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T990" s="3">
        <v>0</v>
      </c>
      <c r="U990" s="3">
        <v>0</v>
      </c>
      <c r="V990" s="3">
        <v>7</v>
      </c>
      <c r="X990" s="2" t="s">
        <v>839</v>
      </c>
      <c r="Y990" s="18">
        <v>0</v>
      </c>
      <c r="Z990" s="18">
        <v>2</v>
      </c>
      <c r="AA990" s="18">
        <v>0</v>
      </c>
      <c r="AB990" s="18">
        <v>2</v>
      </c>
      <c r="AC990" s="18">
        <v>0</v>
      </c>
      <c r="AD990" s="18">
        <v>0</v>
      </c>
      <c r="AE990" s="18" t="s">
        <v>162</v>
      </c>
      <c r="AN990" s="3">
        <v>4</v>
      </c>
      <c r="AO990" s="3">
        <v>3</v>
      </c>
      <c r="AP990" s="3">
        <v>0</v>
      </c>
      <c r="AR990" s="2" t="s">
        <v>840</v>
      </c>
    </row>
    <row r="991" spans="1:44" ht="12.75" customHeight="1">
      <c r="A991" s="4">
        <f>DATE(65,5,6)</f>
        <v>23868</v>
      </c>
      <c r="C991" s="2" t="s">
        <v>236</v>
      </c>
      <c r="E991" s="18">
        <v>0</v>
      </c>
      <c r="F991" s="18">
        <v>0</v>
      </c>
      <c r="G991" s="18">
        <v>0</v>
      </c>
      <c r="H991" s="18">
        <v>1</v>
      </c>
      <c r="I991" s="18">
        <v>2</v>
      </c>
      <c r="J991" s="18">
        <v>0</v>
      </c>
      <c r="K991" s="18">
        <v>0</v>
      </c>
      <c r="T991" s="3">
        <v>3</v>
      </c>
      <c r="U991" s="3">
        <v>7</v>
      </c>
      <c r="V991" s="3">
        <v>7</v>
      </c>
      <c r="X991" s="2" t="s">
        <v>847</v>
      </c>
      <c r="Y991" s="18">
        <v>3</v>
      </c>
      <c r="Z991" s="18">
        <v>0</v>
      </c>
      <c r="AA991" s="18">
        <v>1</v>
      </c>
      <c r="AB991" s="18">
        <v>2</v>
      </c>
      <c r="AC991" s="18">
        <v>1</v>
      </c>
      <c r="AD991" s="18">
        <v>0</v>
      </c>
      <c r="AE991" s="18">
        <v>4</v>
      </c>
      <c r="AN991" s="3">
        <v>11</v>
      </c>
      <c r="AO991" s="3">
        <v>15</v>
      </c>
      <c r="AP991" s="3">
        <v>0</v>
      </c>
      <c r="AR991" s="2" t="s">
        <v>848</v>
      </c>
    </row>
    <row r="992" spans="1:44" ht="12.75" customHeight="1">
      <c r="A992" s="4">
        <f>DATE(66,5,5)</f>
        <v>24232</v>
      </c>
      <c r="C992" s="2" t="s">
        <v>236</v>
      </c>
      <c r="E992" s="18">
        <v>0</v>
      </c>
      <c r="F992" s="18">
        <v>1</v>
      </c>
      <c r="G992" s="18">
        <v>0</v>
      </c>
      <c r="H992" s="18">
        <v>5</v>
      </c>
      <c r="I992" s="18">
        <v>0</v>
      </c>
      <c r="J992" s="18">
        <v>0</v>
      </c>
      <c r="K992" s="18" t="s">
        <v>162</v>
      </c>
      <c r="T992" s="3">
        <v>6</v>
      </c>
      <c r="U992" s="3">
        <v>3</v>
      </c>
      <c r="V992" s="3">
        <v>5</v>
      </c>
      <c r="X992" s="2" t="s">
        <v>865</v>
      </c>
      <c r="Y992" s="18">
        <v>1</v>
      </c>
      <c r="Z992" s="18">
        <v>0</v>
      </c>
      <c r="AA992" s="18">
        <v>0</v>
      </c>
      <c r="AB992" s="18">
        <v>0</v>
      </c>
      <c r="AC992" s="18">
        <v>2</v>
      </c>
      <c r="AD992" s="18">
        <v>1</v>
      </c>
      <c r="AE992" s="18">
        <v>0</v>
      </c>
      <c r="AN992" s="3">
        <v>4</v>
      </c>
      <c r="AO992" s="3">
        <v>6</v>
      </c>
      <c r="AP992" s="3">
        <v>6</v>
      </c>
      <c r="AR992" s="2" t="s">
        <v>866</v>
      </c>
    </row>
    <row r="993" spans="1:44" ht="12.75" customHeight="1">
      <c r="A993" s="4">
        <f>DATE(66,5,18)</f>
        <v>24245</v>
      </c>
      <c r="B993" s="2" t="s">
        <v>152</v>
      </c>
      <c r="C993" s="2" t="s">
        <v>236</v>
      </c>
      <c r="E993" s="18">
        <v>0</v>
      </c>
      <c r="F993" s="18">
        <v>0</v>
      </c>
      <c r="G993" s="18">
        <v>0</v>
      </c>
      <c r="H993" s="18">
        <v>0</v>
      </c>
      <c r="I993" s="18">
        <v>0</v>
      </c>
      <c r="T993" s="3">
        <v>0</v>
      </c>
      <c r="U993" s="3">
        <v>4</v>
      </c>
      <c r="V993" s="3">
        <v>3</v>
      </c>
      <c r="X993" s="2" t="s">
        <v>872</v>
      </c>
      <c r="Y993" s="18">
        <v>3</v>
      </c>
      <c r="Z993" s="18">
        <v>3</v>
      </c>
      <c r="AA993" s="18">
        <v>3</v>
      </c>
      <c r="AB993" s="18">
        <v>2</v>
      </c>
      <c r="AC993" s="18">
        <v>0</v>
      </c>
      <c r="AN993" s="3">
        <v>11</v>
      </c>
      <c r="AO993" s="3">
        <v>8</v>
      </c>
      <c r="AP993" s="3">
        <v>3</v>
      </c>
      <c r="AR993" s="2" t="s">
        <v>873</v>
      </c>
    </row>
    <row r="994" spans="1:44" ht="12.75" customHeight="1">
      <c r="A994" s="4">
        <f>DATE(67,4,10)</f>
        <v>24572</v>
      </c>
      <c r="B994" s="2" t="s">
        <v>237</v>
      </c>
      <c r="C994" s="2" t="s">
        <v>236</v>
      </c>
      <c r="E994" s="18">
        <v>0</v>
      </c>
      <c r="F994" s="18">
        <v>1</v>
      </c>
      <c r="G994" s="18">
        <v>0</v>
      </c>
      <c r="H994" s="18">
        <v>0</v>
      </c>
      <c r="I994" s="18">
        <v>0</v>
      </c>
      <c r="J994" s="18">
        <v>0</v>
      </c>
      <c r="T994" s="3">
        <v>1</v>
      </c>
      <c r="U994" s="3">
        <v>2</v>
      </c>
      <c r="V994" s="3">
        <v>4</v>
      </c>
      <c r="X994" s="2" t="s">
        <v>872</v>
      </c>
      <c r="Y994" s="18">
        <v>0</v>
      </c>
      <c r="Z994" s="18">
        <v>2</v>
      </c>
      <c r="AA994" s="18">
        <v>1</v>
      </c>
      <c r="AB994" s="18">
        <v>1</v>
      </c>
      <c r="AC994" s="18">
        <v>0</v>
      </c>
      <c r="AD994" s="18">
        <v>2</v>
      </c>
      <c r="AN994" s="3">
        <v>6</v>
      </c>
      <c r="AO994" s="3">
        <v>8</v>
      </c>
      <c r="AP994" s="3">
        <v>1</v>
      </c>
      <c r="AR994" s="2" t="s">
        <v>878</v>
      </c>
    </row>
    <row r="995" spans="1:44" ht="12.75" customHeight="1">
      <c r="A995" s="4">
        <f>DATE(68,4,5)</f>
        <v>24933</v>
      </c>
      <c r="C995" s="2" t="s">
        <v>236</v>
      </c>
      <c r="E995" s="18">
        <v>0</v>
      </c>
      <c r="F995" s="18">
        <v>1</v>
      </c>
      <c r="G995" s="18">
        <v>0</v>
      </c>
      <c r="H995" s="18">
        <v>0</v>
      </c>
      <c r="I995" s="18">
        <v>1</v>
      </c>
      <c r="J995" s="18">
        <v>0</v>
      </c>
      <c r="K995" s="18">
        <v>0</v>
      </c>
      <c r="L995" s="18">
        <v>0</v>
      </c>
      <c r="T995" s="3">
        <v>2</v>
      </c>
      <c r="U995" s="3">
        <v>7</v>
      </c>
      <c r="V995" s="3">
        <v>5</v>
      </c>
      <c r="X995" s="2" t="s">
        <v>891</v>
      </c>
      <c r="Y995" s="18">
        <v>0</v>
      </c>
      <c r="Z995" s="18">
        <v>1</v>
      </c>
      <c r="AA995" s="18">
        <v>0</v>
      </c>
      <c r="AB995" s="18">
        <v>0</v>
      </c>
      <c r="AC995" s="18">
        <v>0</v>
      </c>
      <c r="AD995" s="18">
        <v>1</v>
      </c>
      <c r="AE995" s="18">
        <v>0</v>
      </c>
      <c r="AF995" s="18">
        <v>1</v>
      </c>
      <c r="AN995" s="3">
        <v>3</v>
      </c>
      <c r="AO995" s="3">
        <v>5</v>
      </c>
      <c r="AP995" s="3">
        <v>2</v>
      </c>
      <c r="AR995" s="2" t="s">
        <v>892</v>
      </c>
    </row>
    <row r="996" spans="1:44" ht="12.75" customHeight="1">
      <c r="A996" s="4">
        <f>DATE(69,4,3)</f>
        <v>25296</v>
      </c>
      <c r="B996" s="2" t="s">
        <v>152</v>
      </c>
      <c r="C996" s="2" t="s">
        <v>236</v>
      </c>
      <c r="E996" s="18">
        <v>0</v>
      </c>
      <c r="F996" s="18">
        <v>0</v>
      </c>
      <c r="G996" s="18">
        <v>0</v>
      </c>
      <c r="H996" s="18">
        <v>0</v>
      </c>
      <c r="I996" s="18">
        <v>0</v>
      </c>
      <c r="J996" s="18">
        <v>2</v>
      </c>
      <c r="K996" s="18">
        <v>0</v>
      </c>
      <c r="L996" s="18">
        <v>0</v>
      </c>
      <c r="T996" s="3">
        <v>2</v>
      </c>
      <c r="U996" s="3">
        <v>4</v>
      </c>
      <c r="V996" s="3">
        <v>1</v>
      </c>
      <c r="X996" s="2" t="s">
        <v>907</v>
      </c>
      <c r="Y996" s="18">
        <v>0</v>
      </c>
      <c r="Z996" s="18">
        <v>1</v>
      </c>
      <c r="AA996" s="18">
        <v>0</v>
      </c>
      <c r="AB996" s="18">
        <v>0</v>
      </c>
      <c r="AC996" s="18">
        <v>0</v>
      </c>
      <c r="AD996" s="18">
        <v>0</v>
      </c>
      <c r="AE996" s="18">
        <v>1</v>
      </c>
      <c r="AF996" s="18">
        <v>1</v>
      </c>
      <c r="AN996" s="3">
        <v>3</v>
      </c>
      <c r="AO996" s="3">
        <v>6</v>
      </c>
      <c r="AP996" s="3">
        <v>3</v>
      </c>
      <c r="AR996" s="2" t="s">
        <v>908</v>
      </c>
    </row>
    <row r="997" spans="1:44" ht="12.75" customHeight="1">
      <c r="A997" s="4">
        <f>DATE(69,5,26)</f>
        <v>25349</v>
      </c>
      <c r="C997" s="2" t="s">
        <v>236</v>
      </c>
      <c r="D997" s="2" t="s">
        <v>243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1</v>
      </c>
      <c r="K997" s="18">
        <v>0</v>
      </c>
      <c r="T997" s="3">
        <v>1</v>
      </c>
      <c r="U997" s="3">
        <v>3</v>
      </c>
      <c r="V997" s="3">
        <v>9</v>
      </c>
      <c r="X997" s="2" t="s">
        <v>893</v>
      </c>
      <c r="Y997" s="18">
        <v>0</v>
      </c>
      <c r="Z997" s="18">
        <v>0</v>
      </c>
      <c r="AA997" s="18">
        <v>2</v>
      </c>
      <c r="AB997" s="18">
        <v>0</v>
      </c>
      <c r="AC997" s="18">
        <v>0</v>
      </c>
      <c r="AD997" s="18">
        <v>0</v>
      </c>
      <c r="AE997" s="18">
        <v>1</v>
      </c>
      <c r="AN997" s="3">
        <v>3</v>
      </c>
      <c r="AO997" s="3">
        <v>4</v>
      </c>
      <c r="AP997" s="3">
        <v>2</v>
      </c>
      <c r="AR997" s="2" t="s">
        <v>917</v>
      </c>
    </row>
    <row r="998" spans="1:44" ht="12.75" customHeight="1">
      <c r="A998" s="4">
        <f>DATE(70,4,10)</f>
        <v>25668</v>
      </c>
      <c r="B998" s="2" t="s">
        <v>152</v>
      </c>
      <c r="C998" s="2" t="s">
        <v>236</v>
      </c>
      <c r="E998" s="18">
        <v>0</v>
      </c>
      <c r="F998" s="18">
        <v>0</v>
      </c>
      <c r="G998" s="18">
        <v>0</v>
      </c>
      <c r="H998" s="18">
        <v>1</v>
      </c>
      <c r="I998" s="18">
        <v>3</v>
      </c>
      <c r="J998" s="18">
        <v>0</v>
      </c>
      <c r="K998" s="18">
        <v>0</v>
      </c>
      <c r="T998" s="3">
        <v>4</v>
      </c>
      <c r="U998" s="3">
        <v>7</v>
      </c>
      <c r="V998" s="3">
        <v>1</v>
      </c>
      <c r="X998" s="2" t="s">
        <v>915</v>
      </c>
      <c r="Y998" s="18">
        <v>1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N998" s="3">
        <v>1</v>
      </c>
      <c r="AO998" s="3">
        <v>5</v>
      </c>
      <c r="AP998" s="3">
        <v>5</v>
      </c>
      <c r="AR998" s="2" t="s">
        <v>918</v>
      </c>
    </row>
    <row r="999" spans="1:44" ht="12.75" customHeight="1">
      <c r="A999" s="4">
        <f>DATE(70,5,20)</f>
        <v>25708</v>
      </c>
      <c r="C999" s="2" t="s">
        <v>236</v>
      </c>
      <c r="E999" s="18">
        <v>0</v>
      </c>
      <c r="F999" s="18">
        <v>1</v>
      </c>
      <c r="G999" s="18">
        <v>0</v>
      </c>
      <c r="H999" s="18">
        <v>1</v>
      </c>
      <c r="I999" s="18">
        <v>0</v>
      </c>
      <c r="J999" s="18">
        <v>1</v>
      </c>
      <c r="K999" s="18" t="s">
        <v>162</v>
      </c>
      <c r="T999" s="3">
        <v>3</v>
      </c>
      <c r="U999" s="3">
        <v>6</v>
      </c>
      <c r="V999" s="3">
        <v>0</v>
      </c>
      <c r="X999" s="2" t="s">
        <v>924</v>
      </c>
      <c r="Y999" s="18">
        <v>0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  <c r="AE999" s="18">
        <v>0</v>
      </c>
      <c r="AN999" s="3">
        <v>0</v>
      </c>
      <c r="AO999" s="3">
        <v>0</v>
      </c>
      <c r="AP999" s="3">
        <v>1</v>
      </c>
      <c r="AR999" s="2" t="s">
        <v>928</v>
      </c>
    </row>
    <row r="1000" spans="1:44" ht="12.75" customHeight="1">
      <c r="A1000" s="4">
        <f>DATE(71,4,8)</f>
        <v>26031</v>
      </c>
      <c r="C1000" s="2" t="s">
        <v>236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3</v>
      </c>
      <c r="K1000" s="18">
        <v>0</v>
      </c>
      <c r="T1000" s="3">
        <v>3</v>
      </c>
      <c r="U1000" s="3">
        <v>5</v>
      </c>
      <c r="V1000" s="3">
        <v>5</v>
      </c>
      <c r="X1000" s="2" t="s">
        <v>935</v>
      </c>
      <c r="Y1000" s="18">
        <v>0</v>
      </c>
      <c r="Z1000" s="18">
        <v>0</v>
      </c>
      <c r="AA1000" s="18">
        <v>0</v>
      </c>
      <c r="AB1000" s="18">
        <v>3</v>
      </c>
      <c r="AC1000" s="18">
        <v>1</v>
      </c>
      <c r="AD1000" s="18">
        <v>0</v>
      </c>
      <c r="AE1000" s="18">
        <v>0</v>
      </c>
      <c r="AN1000" s="3">
        <v>4</v>
      </c>
      <c r="AO1000" s="3">
        <v>3</v>
      </c>
      <c r="AP1000" s="3">
        <v>2</v>
      </c>
      <c r="AR1000" s="2" t="s">
        <v>936</v>
      </c>
    </row>
    <row r="1001" spans="1:44" ht="12.75" customHeight="1">
      <c r="A1001" s="4">
        <f>DATE(71,5,17)</f>
        <v>26070</v>
      </c>
      <c r="B1001" s="2" t="s">
        <v>152</v>
      </c>
      <c r="C1001" s="2" t="s">
        <v>236</v>
      </c>
      <c r="E1001" s="18">
        <v>0</v>
      </c>
      <c r="F1001" s="18">
        <v>0</v>
      </c>
      <c r="G1001" s="18">
        <v>0</v>
      </c>
      <c r="H1001" s="18">
        <v>1</v>
      </c>
      <c r="I1001" s="18">
        <v>1</v>
      </c>
      <c r="J1001" s="18">
        <v>0</v>
      </c>
      <c r="K1001" s="18">
        <v>4</v>
      </c>
      <c r="L1001" s="18">
        <v>4</v>
      </c>
      <c r="T1001" s="3">
        <v>10</v>
      </c>
      <c r="U1001" s="3">
        <v>14</v>
      </c>
      <c r="V1001" s="3">
        <v>0</v>
      </c>
      <c r="X1001" s="2" t="s">
        <v>957</v>
      </c>
      <c r="Y1001" s="18">
        <v>0</v>
      </c>
      <c r="Z1001" s="18">
        <v>1</v>
      </c>
      <c r="AA1001" s="18">
        <v>2</v>
      </c>
      <c r="AB1001" s="18">
        <v>1</v>
      </c>
      <c r="AC1001" s="18">
        <v>2</v>
      </c>
      <c r="AD1001" s="18">
        <v>0</v>
      </c>
      <c r="AE1001" s="18">
        <v>0</v>
      </c>
      <c r="AF1001" s="18">
        <v>0</v>
      </c>
      <c r="AN1001" s="3">
        <v>6</v>
      </c>
      <c r="AO1001" s="3">
        <v>11</v>
      </c>
      <c r="AP1001" s="3">
        <v>3</v>
      </c>
      <c r="AR1001" s="2" t="s">
        <v>958</v>
      </c>
    </row>
    <row r="1002" spans="1:44" ht="12.75" customHeight="1">
      <c r="A1002" s="4">
        <f>DATE(72,4,21)</f>
        <v>26410</v>
      </c>
      <c r="B1002" s="2" t="s">
        <v>152</v>
      </c>
      <c r="C1002" s="2" t="s">
        <v>236</v>
      </c>
      <c r="E1002" s="18">
        <v>0</v>
      </c>
      <c r="F1002" s="18">
        <v>0</v>
      </c>
      <c r="G1002" s="18">
        <v>0</v>
      </c>
      <c r="H1002" s="18">
        <v>0</v>
      </c>
      <c r="I1002" s="18">
        <v>1</v>
      </c>
      <c r="J1002" s="18">
        <v>0</v>
      </c>
      <c r="K1002" s="18">
        <v>0</v>
      </c>
      <c r="L1002" s="18">
        <v>1</v>
      </c>
      <c r="T1002" s="3">
        <v>2</v>
      </c>
      <c r="U1002" s="3">
        <v>7</v>
      </c>
      <c r="V1002" s="3">
        <v>2</v>
      </c>
      <c r="X1002" s="2" t="s">
        <v>973</v>
      </c>
      <c r="Y1002" s="18">
        <v>0</v>
      </c>
      <c r="Z1002" s="18">
        <v>0</v>
      </c>
      <c r="AA1002" s="18">
        <v>0</v>
      </c>
      <c r="AB1002" s="18">
        <v>1</v>
      </c>
      <c r="AC1002" s="18">
        <v>0</v>
      </c>
      <c r="AD1002" s="18">
        <v>0</v>
      </c>
      <c r="AE1002" s="18">
        <v>0</v>
      </c>
      <c r="AF1002" s="18">
        <v>0</v>
      </c>
      <c r="AN1002" s="3">
        <v>1</v>
      </c>
      <c r="AO1002" s="3">
        <v>6</v>
      </c>
      <c r="AP1002" s="3">
        <v>0</v>
      </c>
      <c r="AR1002" s="2" t="s">
        <v>974</v>
      </c>
    </row>
    <row r="1003" spans="1:44" ht="12.75" customHeight="1">
      <c r="A1003" s="4">
        <f>DATE(72,5,16)</f>
        <v>26435</v>
      </c>
      <c r="C1003" s="2" t="s">
        <v>236</v>
      </c>
      <c r="E1003" s="18">
        <v>2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 t="s">
        <v>162</v>
      </c>
      <c r="T1003" s="3">
        <v>2</v>
      </c>
      <c r="U1003" s="3">
        <v>3</v>
      </c>
      <c r="V1003" s="3">
        <v>1</v>
      </c>
      <c r="X1003" s="2" t="s">
        <v>941</v>
      </c>
      <c r="Y1003" s="18">
        <v>0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N1003" s="3">
        <v>0</v>
      </c>
      <c r="AO1003" s="3">
        <v>3</v>
      </c>
      <c r="AP1003" s="3">
        <v>1</v>
      </c>
      <c r="AR1003" s="2" t="s">
        <v>983</v>
      </c>
    </row>
    <row r="1004" spans="1:44" ht="12.75" customHeight="1">
      <c r="A1004" s="4">
        <f>DATE(73,4,24)</f>
        <v>26778</v>
      </c>
      <c r="B1004" s="2" t="s">
        <v>152</v>
      </c>
      <c r="C1004" s="2" t="s">
        <v>236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  <c r="T1004" s="3">
        <v>0</v>
      </c>
      <c r="U1004" s="3">
        <v>0</v>
      </c>
      <c r="V1004" s="3">
        <v>1</v>
      </c>
      <c r="X1004" s="2" t="s">
        <v>1001</v>
      </c>
      <c r="Y1004" s="18">
        <v>0</v>
      </c>
      <c r="Z1004" s="18">
        <v>0</v>
      </c>
      <c r="AA1004" s="18">
        <v>0</v>
      </c>
      <c r="AB1004" s="18">
        <v>1</v>
      </c>
      <c r="AC1004" s="18">
        <v>0</v>
      </c>
      <c r="AD1004" s="18">
        <v>1</v>
      </c>
      <c r="AE1004" s="18" t="s">
        <v>162</v>
      </c>
      <c r="AN1004" s="3">
        <v>2</v>
      </c>
      <c r="AO1004" s="3">
        <v>5</v>
      </c>
      <c r="AP1004" s="3">
        <v>0</v>
      </c>
      <c r="AR1004" s="2" t="s">
        <v>1002</v>
      </c>
    </row>
    <row r="1005" spans="1:44" ht="12.75" customHeight="1">
      <c r="A1005" s="4">
        <f>DATE(73,5,18)</f>
        <v>26802</v>
      </c>
      <c r="C1005" s="2" t="s">
        <v>236</v>
      </c>
      <c r="E1005" s="18">
        <v>0</v>
      </c>
      <c r="F1005" s="18">
        <v>0</v>
      </c>
      <c r="G1005" s="18">
        <v>0</v>
      </c>
      <c r="H1005" s="18">
        <v>1</v>
      </c>
      <c r="I1005" s="18">
        <v>0</v>
      </c>
      <c r="J1005" s="18">
        <v>0</v>
      </c>
      <c r="K1005" s="18">
        <v>0</v>
      </c>
      <c r="T1005" s="3">
        <v>1</v>
      </c>
      <c r="U1005" s="3">
        <v>0</v>
      </c>
      <c r="V1005" s="3">
        <v>7</v>
      </c>
      <c r="X1005" s="2" t="s">
        <v>1010</v>
      </c>
      <c r="Y1005" s="18">
        <v>2</v>
      </c>
      <c r="Z1005" s="18">
        <v>2</v>
      </c>
      <c r="AA1005" s="18">
        <v>2</v>
      </c>
      <c r="AB1005" s="18">
        <v>1</v>
      </c>
      <c r="AC1005" s="18">
        <v>2</v>
      </c>
      <c r="AD1005" s="18">
        <v>0</v>
      </c>
      <c r="AE1005" s="18">
        <v>0</v>
      </c>
      <c r="AN1005" s="3">
        <v>9</v>
      </c>
      <c r="AO1005" s="3">
        <v>11</v>
      </c>
      <c r="AP1005" s="3">
        <v>3</v>
      </c>
      <c r="AR1005" s="2" t="s">
        <v>1011</v>
      </c>
    </row>
    <row r="1006" spans="1:44" ht="12.75" customHeight="1">
      <c r="A1006" s="4">
        <f>DATE(74,4,25)</f>
        <v>27144</v>
      </c>
      <c r="B1006" s="2" t="s">
        <v>152</v>
      </c>
      <c r="C1006" s="2" t="s">
        <v>236</v>
      </c>
      <c r="E1006" s="18">
        <v>0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T1006" s="3">
        <v>0</v>
      </c>
      <c r="U1006" s="3">
        <v>5</v>
      </c>
      <c r="V1006" s="3">
        <v>2</v>
      </c>
      <c r="X1006" s="2" t="s">
        <v>1001</v>
      </c>
      <c r="Y1006" s="18">
        <v>5</v>
      </c>
      <c r="Z1006" s="18">
        <v>0</v>
      </c>
      <c r="AA1006" s="18">
        <v>0</v>
      </c>
      <c r="AB1006" s="18">
        <v>1</v>
      </c>
      <c r="AC1006" s="18">
        <v>0</v>
      </c>
      <c r="AD1006" s="18">
        <v>0</v>
      </c>
      <c r="AE1006" s="18" t="s">
        <v>162</v>
      </c>
      <c r="AN1006" s="3">
        <v>6</v>
      </c>
      <c r="AO1006" s="3">
        <v>5</v>
      </c>
      <c r="AP1006" s="3">
        <v>0</v>
      </c>
      <c r="AR1006" s="2" t="s">
        <v>1025</v>
      </c>
    </row>
    <row r="1007" spans="1:44" ht="12.75" customHeight="1">
      <c r="A1007" s="4">
        <f>DATE(74,5,21)</f>
        <v>27170</v>
      </c>
      <c r="C1007" s="2" t="s">
        <v>236</v>
      </c>
      <c r="E1007" s="18">
        <v>0</v>
      </c>
      <c r="F1007" s="18">
        <v>0</v>
      </c>
      <c r="G1007" s="18">
        <v>2</v>
      </c>
      <c r="H1007" s="18">
        <v>0</v>
      </c>
      <c r="I1007" s="18">
        <v>1</v>
      </c>
      <c r="J1007" s="18">
        <v>0</v>
      </c>
      <c r="K1007" s="18">
        <v>0</v>
      </c>
      <c r="T1007" s="3">
        <v>3</v>
      </c>
      <c r="U1007" s="3">
        <v>7</v>
      </c>
      <c r="V1007" s="3">
        <v>1</v>
      </c>
      <c r="X1007" s="2" t="s">
        <v>1021</v>
      </c>
      <c r="Y1007" s="18">
        <v>0</v>
      </c>
      <c r="Z1007" s="18">
        <v>0</v>
      </c>
      <c r="AA1007" s="18">
        <v>0</v>
      </c>
      <c r="AB1007" s="18">
        <v>4</v>
      </c>
      <c r="AC1007" s="18">
        <v>0</v>
      </c>
      <c r="AD1007" s="18">
        <v>1</v>
      </c>
      <c r="AE1007" s="18">
        <v>1</v>
      </c>
      <c r="AN1007" s="3">
        <v>6</v>
      </c>
      <c r="AO1007" s="3">
        <v>11</v>
      </c>
      <c r="AP1007" s="3">
        <v>4</v>
      </c>
      <c r="AR1007" s="2" t="s">
        <v>1025</v>
      </c>
    </row>
    <row r="1008" spans="1:44" ht="12.75" customHeight="1">
      <c r="A1008" s="4">
        <f>DATE(75,4,29)</f>
        <v>27513</v>
      </c>
      <c r="B1008" s="2" t="s">
        <v>152</v>
      </c>
      <c r="C1008" s="2" t="s">
        <v>236</v>
      </c>
      <c r="E1008" s="18">
        <v>0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T1008" s="3">
        <v>0</v>
      </c>
      <c r="U1008" s="3">
        <v>4</v>
      </c>
      <c r="V1008" s="3">
        <v>1</v>
      </c>
      <c r="X1008" s="2" t="s">
        <v>1051</v>
      </c>
      <c r="Y1008" s="18">
        <v>0</v>
      </c>
      <c r="Z1008" s="18">
        <v>0</v>
      </c>
      <c r="AA1008" s="18">
        <v>0</v>
      </c>
      <c r="AB1008" s="18">
        <v>0</v>
      </c>
      <c r="AC1008" s="18">
        <v>0</v>
      </c>
      <c r="AD1008" s="18">
        <v>2</v>
      </c>
      <c r="AE1008" s="18" t="s">
        <v>162</v>
      </c>
      <c r="AN1008" s="3">
        <v>2</v>
      </c>
      <c r="AO1008" s="3">
        <v>3</v>
      </c>
      <c r="AP1008" s="3">
        <v>1</v>
      </c>
      <c r="AR1008" s="2" t="s">
        <v>1052</v>
      </c>
    </row>
    <row r="1009" spans="1:44" ht="12.75" customHeight="1">
      <c r="A1009" s="4">
        <f>DATE(75,5,22)</f>
        <v>27536</v>
      </c>
      <c r="C1009" s="2" t="s">
        <v>236</v>
      </c>
      <c r="E1009" s="18">
        <v>2</v>
      </c>
      <c r="F1009" s="18">
        <v>0</v>
      </c>
      <c r="G1009" s="18">
        <v>0</v>
      </c>
      <c r="H1009" s="18">
        <v>0</v>
      </c>
      <c r="I1009" s="18">
        <v>0</v>
      </c>
      <c r="J1009" s="18">
        <v>3</v>
      </c>
      <c r="K1009" s="18">
        <v>0</v>
      </c>
      <c r="L1009" s="18">
        <v>1</v>
      </c>
      <c r="T1009" s="3">
        <v>6</v>
      </c>
      <c r="U1009" s="3">
        <v>7</v>
      </c>
      <c r="V1009" s="3">
        <v>3</v>
      </c>
      <c r="X1009" s="2" t="s">
        <v>999</v>
      </c>
      <c r="Y1009" s="18">
        <v>1</v>
      </c>
      <c r="Z1009" s="18">
        <v>0</v>
      </c>
      <c r="AA1009" s="18">
        <v>0</v>
      </c>
      <c r="AB1009" s="18">
        <v>0</v>
      </c>
      <c r="AC1009" s="18">
        <v>4</v>
      </c>
      <c r="AD1009" s="18">
        <v>0</v>
      </c>
      <c r="AE1009" s="18">
        <v>0</v>
      </c>
      <c r="AF1009" s="18">
        <v>0</v>
      </c>
      <c r="AN1009" s="3">
        <v>5</v>
      </c>
      <c r="AO1009" s="3">
        <v>7</v>
      </c>
      <c r="AP1009" s="3">
        <v>6</v>
      </c>
      <c r="AR1009" s="2" t="s">
        <v>1063</v>
      </c>
    </row>
    <row r="1010" spans="1:44" ht="12.75" customHeight="1">
      <c r="A1010" s="4">
        <f>DATE(76,4,6)</f>
        <v>27856</v>
      </c>
      <c r="C1010" s="2" t="s">
        <v>236</v>
      </c>
      <c r="E1010" s="18">
        <v>1</v>
      </c>
      <c r="F1010" s="18">
        <v>0</v>
      </c>
      <c r="G1010" s="18">
        <v>1</v>
      </c>
      <c r="H1010" s="18">
        <v>3</v>
      </c>
      <c r="I1010" s="18">
        <v>1</v>
      </c>
      <c r="J1010" s="18">
        <v>4</v>
      </c>
      <c r="K1010" s="18" t="s">
        <v>162</v>
      </c>
      <c r="T1010" s="3">
        <v>10</v>
      </c>
      <c r="U1010" s="3">
        <v>11</v>
      </c>
      <c r="V1010" s="3">
        <v>2</v>
      </c>
      <c r="X1010" s="2" t="s">
        <v>1064</v>
      </c>
      <c r="Y1010" s="18">
        <v>1</v>
      </c>
      <c r="Z1010" s="18">
        <v>1</v>
      </c>
      <c r="AA1010" s="18">
        <v>0</v>
      </c>
      <c r="AB1010" s="18">
        <v>0</v>
      </c>
      <c r="AC1010" s="18">
        <v>0</v>
      </c>
      <c r="AD1010" s="18">
        <v>0</v>
      </c>
      <c r="AE1010" s="18">
        <v>0</v>
      </c>
      <c r="AN1010" s="3">
        <v>2</v>
      </c>
      <c r="AO1010" s="3">
        <v>2</v>
      </c>
      <c r="AP1010" s="3">
        <v>4</v>
      </c>
      <c r="AR1010" s="2" t="s">
        <v>1065</v>
      </c>
    </row>
    <row r="1011" spans="1:44" ht="12.75" customHeight="1">
      <c r="A1011" s="4">
        <f>DATE(76,4,29)</f>
        <v>27879</v>
      </c>
      <c r="B1011" s="2" t="s">
        <v>152</v>
      </c>
      <c r="C1011" s="2" t="s">
        <v>236</v>
      </c>
      <c r="E1011" s="18">
        <v>1</v>
      </c>
      <c r="F1011" s="18">
        <v>0</v>
      </c>
      <c r="G1011" s="18">
        <v>0</v>
      </c>
      <c r="H1011" s="18">
        <v>0</v>
      </c>
      <c r="I1011" s="18">
        <v>1</v>
      </c>
      <c r="J1011" s="18">
        <v>0</v>
      </c>
      <c r="K1011" s="18">
        <v>0</v>
      </c>
      <c r="L1011" s="18">
        <v>0</v>
      </c>
      <c r="T1011" s="3">
        <v>2</v>
      </c>
      <c r="U1011" s="3">
        <v>6</v>
      </c>
      <c r="V1011" s="3">
        <v>2</v>
      </c>
      <c r="X1011" s="2" t="s">
        <v>1084</v>
      </c>
      <c r="Y1011" s="18">
        <v>1</v>
      </c>
      <c r="Z1011" s="18">
        <v>0</v>
      </c>
      <c r="AA1011" s="18">
        <v>0</v>
      </c>
      <c r="AB1011" s="18">
        <v>1</v>
      </c>
      <c r="AC1011" s="18">
        <v>0</v>
      </c>
      <c r="AD1011" s="18">
        <v>0</v>
      </c>
      <c r="AE1011" s="18">
        <v>0</v>
      </c>
      <c r="AF1011" s="18">
        <v>1</v>
      </c>
      <c r="AN1011" s="3">
        <v>3</v>
      </c>
      <c r="AO1011" s="3">
        <v>7</v>
      </c>
      <c r="AP1011" s="3">
        <v>1</v>
      </c>
      <c r="AR1011" s="2" t="s">
        <v>1085</v>
      </c>
    </row>
    <row r="1012" spans="1:44" ht="12.75" customHeight="1">
      <c r="A1012" s="4">
        <f>DATE(77,4,22)</f>
        <v>28237</v>
      </c>
      <c r="C1012" s="2" t="s">
        <v>236</v>
      </c>
      <c r="E1012" s="18">
        <v>0</v>
      </c>
      <c r="F1012" s="18">
        <v>0</v>
      </c>
      <c r="G1012" s="18">
        <v>0</v>
      </c>
      <c r="H1012" s="18">
        <v>0</v>
      </c>
      <c r="I1012" s="18">
        <v>0</v>
      </c>
      <c r="T1012" s="3">
        <v>0</v>
      </c>
      <c r="U1012" s="3">
        <v>4</v>
      </c>
      <c r="V1012" s="3">
        <v>5</v>
      </c>
      <c r="X1012" s="2" t="s">
        <v>1122</v>
      </c>
      <c r="Y1012" s="18">
        <v>7</v>
      </c>
      <c r="Z1012" s="18">
        <v>0</v>
      </c>
      <c r="AA1012" s="18">
        <v>5</v>
      </c>
      <c r="AB1012" s="18">
        <v>0</v>
      </c>
      <c r="AC1012" s="18">
        <v>0</v>
      </c>
      <c r="AN1012" s="3">
        <v>12</v>
      </c>
      <c r="AO1012" s="3">
        <v>9</v>
      </c>
      <c r="AP1012" s="3">
        <v>1</v>
      </c>
      <c r="AR1012" s="2" t="s">
        <v>1123</v>
      </c>
    </row>
    <row r="1013" spans="1:44" ht="12.75" customHeight="1">
      <c r="A1013" s="4">
        <f>DATE(77,5,3)</f>
        <v>28248</v>
      </c>
      <c r="B1013" s="2" t="s">
        <v>152</v>
      </c>
      <c r="C1013" s="2" t="s">
        <v>236</v>
      </c>
      <c r="E1013" s="18">
        <v>2</v>
      </c>
      <c r="F1013" s="18">
        <v>1</v>
      </c>
      <c r="G1013" s="18">
        <v>3</v>
      </c>
      <c r="H1013" s="18">
        <v>1</v>
      </c>
      <c r="I1013" s="18">
        <v>0</v>
      </c>
      <c r="J1013" s="18">
        <v>0</v>
      </c>
      <c r="K1013" s="18">
        <v>0</v>
      </c>
      <c r="T1013" s="3">
        <v>7</v>
      </c>
      <c r="U1013" s="3">
        <v>9</v>
      </c>
      <c r="V1013" s="3">
        <v>3</v>
      </c>
      <c r="X1013" s="2" t="s">
        <v>1064</v>
      </c>
      <c r="Y1013" s="18">
        <v>0</v>
      </c>
      <c r="Z1013" s="18">
        <v>0</v>
      </c>
      <c r="AA1013" s="18">
        <v>0</v>
      </c>
      <c r="AB1013" s="18">
        <v>0</v>
      </c>
      <c r="AC1013" s="18">
        <v>1</v>
      </c>
      <c r="AD1013" s="18">
        <v>0</v>
      </c>
      <c r="AE1013" s="18">
        <v>0</v>
      </c>
      <c r="AN1013" s="3">
        <v>1</v>
      </c>
      <c r="AO1013" s="3">
        <v>2</v>
      </c>
      <c r="AP1013" s="3">
        <v>4</v>
      </c>
      <c r="AR1013" s="2" t="s">
        <v>1129</v>
      </c>
    </row>
    <row r="1014" spans="1:44" ht="12.75" customHeight="1">
      <c r="A1014" s="4">
        <f>DATE(78,4,24)</f>
        <v>28604</v>
      </c>
      <c r="C1014" s="2" t="s">
        <v>236</v>
      </c>
      <c r="E1014" s="18">
        <v>0</v>
      </c>
      <c r="F1014" s="18">
        <v>0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T1014" s="3">
        <v>0</v>
      </c>
      <c r="U1014" s="3">
        <v>4</v>
      </c>
      <c r="V1014" s="3">
        <v>5</v>
      </c>
      <c r="X1014" s="2" t="s">
        <v>1165</v>
      </c>
      <c r="Y1014" s="18">
        <v>0</v>
      </c>
      <c r="Z1014" s="18">
        <v>4</v>
      </c>
      <c r="AA1014" s="18">
        <v>0</v>
      </c>
      <c r="AB1014" s="18">
        <v>0</v>
      </c>
      <c r="AC1014" s="18">
        <v>0</v>
      </c>
      <c r="AD1014" s="18">
        <v>0</v>
      </c>
      <c r="AE1014" s="18">
        <v>0</v>
      </c>
      <c r="AN1014" s="3">
        <v>4</v>
      </c>
      <c r="AO1014" s="3">
        <v>4</v>
      </c>
      <c r="AP1014" s="3">
        <v>1</v>
      </c>
      <c r="AR1014" s="2" t="s">
        <v>1166</v>
      </c>
    </row>
    <row r="1015" spans="1:44" ht="12.75" customHeight="1">
      <c r="A1015" s="4">
        <f>DATE(78,5,4)</f>
        <v>28614</v>
      </c>
      <c r="B1015" s="2" t="s">
        <v>152</v>
      </c>
      <c r="C1015" s="2" t="s">
        <v>236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T1015" s="3">
        <v>0</v>
      </c>
      <c r="U1015" s="3">
        <v>5</v>
      </c>
      <c r="V1015" s="3">
        <v>4</v>
      </c>
      <c r="X1015" s="2" t="s">
        <v>1090</v>
      </c>
      <c r="Y1015" s="18"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1</v>
      </c>
      <c r="AE1015" s="18" t="s">
        <v>162</v>
      </c>
      <c r="AN1015" s="3">
        <v>1</v>
      </c>
      <c r="AO1015" s="3">
        <v>4</v>
      </c>
      <c r="AP1015" s="3">
        <v>1</v>
      </c>
      <c r="AR1015" s="2" t="s">
        <v>1166</v>
      </c>
    </row>
    <row r="1016" spans="1:44" ht="12.75" customHeight="1">
      <c r="A1016" s="4">
        <f>DATE(78,5,23)</f>
        <v>28633</v>
      </c>
      <c r="B1016" s="2" t="s">
        <v>239</v>
      </c>
      <c r="C1016" s="2" t="s">
        <v>236</v>
      </c>
      <c r="E1016" s="18">
        <v>1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T1016" s="3">
        <v>1</v>
      </c>
      <c r="U1016" s="3">
        <v>4</v>
      </c>
      <c r="V1016" s="3">
        <v>1</v>
      </c>
      <c r="X1016" s="2" t="s">
        <v>1090</v>
      </c>
      <c r="Y1016" s="18">
        <v>3</v>
      </c>
      <c r="Z1016" s="18">
        <v>0</v>
      </c>
      <c r="AA1016" s="18">
        <v>1</v>
      </c>
      <c r="AB1016" s="18">
        <v>0</v>
      </c>
      <c r="AC1016" s="18">
        <v>0</v>
      </c>
      <c r="AD1016" s="18">
        <v>1</v>
      </c>
      <c r="AE1016" s="18" t="s">
        <v>162</v>
      </c>
      <c r="AN1016" s="3">
        <v>5</v>
      </c>
      <c r="AO1016" s="3">
        <v>4</v>
      </c>
      <c r="AP1016" s="3">
        <v>0</v>
      </c>
      <c r="AR1016" s="2" t="s">
        <v>1166</v>
      </c>
    </row>
    <row r="1017" spans="1:44" ht="12.75" customHeight="1">
      <c r="A1017" s="4">
        <f>DATE(79,4,11)</f>
        <v>28956</v>
      </c>
      <c r="C1017" s="2" t="s">
        <v>236</v>
      </c>
      <c r="E1017" s="18">
        <v>3</v>
      </c>
      <c r="F1017" s="18">
        <v>0</v>
      </c>
      <c r="G1017" s="18">
        <v>0</v>
      </c>
      <c r="H1017" s="18">
        <v>3</v>
      </c>
      <c r="I1017" s="18">
        <v>0</v>
      </c>
      <c r="J1017" s="18">
        <v>2</v>
      </c>
      <c r="K1017" s="18" t="s">
        <v>162</v>
      </c>
      <c r="T1017" s="3">
        <v>8</v>
      </c>
      <c r="U1017" s="3">
        <v>10</v>
      </c>
      <c r="V1017" s="3">
        <v>2</v>
      </c>
      <c r="X1017" s="2" t="s">
        <v>1070</v>
      </c>
      <c r="Y1017" s="18">
        <v>0</v>
      </c>
      <c r="Z1017" s="18">
        <v>1</v>
      </c>
      <c r="AA1017" s="18">
        <v>0</v>
      </c>
      <c r="AB1017" s="18">
        <v>0</v>
      </c>
      <c r="AC1017" s="18">
        <v>0</v>
      </c>
      <c r="AD1017" s="18">
        <v>1</v>
      </c>
      <c r="AE1017" s="18">
        <v>0</v>
      </c>
      <c r="AN1017" s="3">
        <v>2</v>
      </c>
      <c r="AO1017" s="3">
        <v>4</v>
      </c>
      <c r="AP1017" s="3">
        <v>2</v>
      </c>
      <c r="AR1017" s="2" t="s">
        <v>1197</v>
      </c>
    </row>
    <row r="1018" spans="1:44" ht="12.75" customHeight="1">
      <c r="A1018" s="4">
        <f>DATE(79,5,8)</f>
        <v>28983</v>
      </c>
      <c r="B1018" s="2" t="s">
        <v>152</v>
      </c>
      <c r="C1018" s="2" t="s">
        <v>236</v>
      </c>
      <c r="E1018" s="18">
        <v>1</v>
      </c>
      <c r="F1018" s="18">
        <v>1</v>
      </c>
      <c r="G1018" s="18">
        <v>3</v>
      </c>
      <c r="H1018" s="18">
        <v>0</v>
      </c>
      <c r="I1018" s="18">
        <v>0</v>
      </c>
      <c r="J1018" s="18">
        <v>0</v>
      </c>
      <c r="K1018" s="18">
        <v>3</v>
      </c>
      <c r="T1018" s="3">
        <v>8</v>
      </c>
      <c r="U1018" s="3">
        <v>11</v>
      </c>
      <c r="V1018" s="3">
        <v>1</v>
      </c>
      <c r="X1018" s="2" t="s">
        <v>1070</v>
      </c>
      <c r="Y1018" s="18">
        <v>0</v>
      </c>
      <c r="Z1018" s="18">
        <v>0</v>
      </c>
      <c r="AA1018" s="18">
        <v>2</v>
      </c>
      <c r="AB1018" s="18">
        <v>0</v>
      </c>
      <c r="AC1018" s="18">
        <v>0</v>
      </c>
      <c r="AD1018" s="18">
        <v>0</v>
      </c>
      <c r="AE1018" s="18">
        <v>0</v>
      </c>
      <c r="AN1018" s="3">
        <v>2</v>
      </c>
      <c r="AO1018" s="3">
        <v>5</v>
      </c>
      <c r="AP1018" s="3">
        <v>1</v>
      </c>
      <c r="AR1018" s="2" t="s">
        <v>1216</v>
      </c>
    </row>
    <row r="1019" spans="1:44" ht="12.75" customHeight="1">
      <c r="A1019" s="4">
        <f>DATE(80,4,22)</f>
        <v>29333</v>
      </c>
      <c r="C1019" s="2" t="s">
        <v>236</v>
      </c>
      <c r="E1019" s="18">
        <v>1</v>
      </c>
      <c r="F1019" s="18">
        <v>0</v>
      </c>
      <c r="G1019" s="18">
        <v>2</v>
      </c>
      <c r="H1019" s="18">
        <v>2</v>
      </c>
      <c r="I1019" s="18">
        <v>0</v>
      </c>
      <c r="J1019" s="18">
        <v>2</v>
      </c>
      <c r="K1019" s="18" t="s">
        <v>162</v>
      </c>
      <c r="T1019" s="3">
        <v>7</v>
      </c>
      <c r="U1019" s="3">
        <v>9</v>
      </c>
      <c r="V1019" s="3">
        <v>0</v>
      </c>
      <c r="X1019" s="2" t="s">
        <v>1256</v>
      </c>
      <c r="Y1019" s="18">
        <v>0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  <c r="AE1019" s="18">
        <v>0</v>
      </c>
      <c r="AN1019" s="3">
        <v>0</v>
      </c>
      <c r="AO1019" s="3">
        <v>2</v>
      </c>
      <c r="AP1019" s="3">
        <v>3</v>
      </c>
      <c r="AR1019" s="2" t="s">
        <v>1257</v>
      </c>
    </row>
    <row r="1020" spans="1:44" ht="12.75" customHeight="1">
      <c r="A1020" s="4">
        <f>DATE(80,5,15)</f>
        <v>29356</v>
      </c>
      <c r="B1020" s="2" t="s">
        <v>152</v>
      </c>
      <c r="C1020" s="2" t="s">
        <v>236</v>
      </c>
      <c r="E1020" s="18">
        <v>0</v>
      </c>
      <c r="F1020" s="18">
        <v>0</v>
      </c>
      <c r="G1020" s="18">
        <v>1</v>
      </c>
      <c r="H1020" s="18">
        <v>0</v>
      </c>
      <c r="I1020" s="18">
        <v>0</v>
      </c>
      <c r="J1020" s="18">
        <v>3</v>
      </c>
      <c r="K1020" s="18">
        <v>0</v>
      </c>
      <c r="T1020" s="3">
        <v>4</v>
      </c>
      <c r="U1020" s="3">
        <v>8</v>
      </c>
      <c r="V1020" s="3">
        <v>0</v>
      </c>
      <c r="X1020" s="2" t="s">
        <v>1256</v>
      </c>
      <c r="Y1020" s="18">
        <v>0</v>
      </c>
      <c r="Z1020" s="18">
        <v>0</v>
      </c>
      <c r="AA1020" s="18">
        <v>0</v>
      </c>
      <c r="AB1020" s="18">
        <v>1</v>
      </c>
      <c r="AC1020" s="18">
        <v>0</v>
      </c>
      <c r="AD1020" s="18">
        <v>0</v>
      </c>
      <c r="AE1020" s="18">
        <v>0</v>
      </c>
      <c r="AN1020" s="3">
        <v>1</v>
      </c>
      <c r="AO1020" s="3">
        <v>6</v>
      </c>
      <c r="AP1020" s="3">
        <v>0</v>
      </c>
      <c r="AR1020" s="2" t="s">
        <v>1303</v>
      </c>
    </row>
    <row r="1021" spans="1:44" ht="12.75" customHeight="1">
      <c r="A1021" s="4">
        <f>DATE(81,4,27)</f>
        <v>29703</v>
      </c>
      <c r="C1021" s="2" t="s">
        <v>236</v>
      </c>
      <c r="E1021" s="18">
        <v>1</v>
      </c>
      <c r="F1021" s="18">
        <v>3</v>
      </c>
      <c r="G1021" s="18">
        <v>2</v>
      </c>
      <c r="H1021" s="18">
        <v>2</v>
      </c>
      <c r="I1021" s="18">
        <v>3</v>
      </c>
      <c r="J1021" s="18">
        <v>2</v>
      </c>
      <c r="K1021" s="18" t="s">
        <v>162</v>
      </c>
      <c r="T1021" s="3">
        <v>13</v>
      </c>
      <c r="U1021" s="3">
        <v>10</v>
      </c>
      <c r="V1021" s="3">
        <v>1</v>
      </c>
      <c r="X1021" s="2" t="s">
        <v>1341</v>
      </c>
      <c r="Y1021" s="18">
        <v>0</v>
      </c>
      <c r="Z1021" s="18">
        <v>0</v>
      </c>
      <c r="AA1021" s="18">
        <v>2</v>
      </c>
      <c r="AB1021" s="18">
        <v>2</v>
      </c>
      <c r="AC1021" s="18">
        <v>0</v>
      </c>
      <c r="AD1021" s="18">
        <v>0</v>
      </c>
      <c r="AE1021" s="18">
        <v>0</v>
      </c>
      <c r="AN1021" s="3">
        <v>4</v>
      </c>
      <c r="AO1021" s="3">
        <v>4</v>
      </c>
      <c r="AP1021" s="3">
        <v>4</v>
      </c>
      <c r="AR1021" s="2" t="s">
        <v>1342</v>
      </c>
    </row>
    <row r="1022" spans="1:44" ht="12.75" customHeight="1">
      <c r="A1022" s="4">
        <f>DATE(81,5,19)</f>
        <v>29725</v>
      </c>
      <c r="B1022" s="2" t="s">
        <v>152</v>
      </c>
      <c r="C1022" s="2" t="s">
        <v>236</v>
      </c>
      <c r="E1022" s="18">
        <v>2</v>
      </c>
      <c r="F1022" s="18">
        <v>1</v>
      </c>
      <c r="G1022" s="18">
        <v>0</v>
      </c>
      <c r="H1022" s="18">
        <v>2</v>
      </c>
      <c r="I1022" s="18">
        <v>0</v>
      </c>
      <c r="J1022" s="18">
        <v>0</v>
      </c>
      <c r="K1022" s="18">
        <v>0</v>
      </c>
      <c r="L1022" s="18">
        <v>0</v>
      </c>
      <c r="T1022" s="3">
        <v>5</v>
      </c>
      <c r="U1022" s="3">
        <v>4</v>
      </c>
      <c r="V1022" s="3">
        <v>4</v>
      </c>
      <c r="X1022" s="2" t="s">
        <v>1339</v>
      </c>
      <c r="Y1022" s="18">
        <v>2</v>
      </c>
      <c r="Z1022" s="18">
        <v>1</v>
      </c>
      <c r="AA1022" s="18">
        <v>0</v>
      </c>
      <c r="AB1022" s="18">
        <v>2</v>
      </c>
      <c r="AC1022" s="18">
        <v>0</v>
      </c>
      <c r="AD1022" s="18">
        <v>0</v>
      </c>
      <c r="AE1022" s="18">
        <v>0</v>
      </c>
      <c r="AF1022" s="18">
        <v>1</v>
      </c>
      <c r="AN1022" s="3">
        <v>6</v>
      </c>
      <c r="AO1022" s="3">
        <v>5</v>
      </c>
      <c r="AP1022" s="3">
        <v>3</v>
      </c>
      <c r="AR1022" s="2" t="s">
        <v>1352</v>
      </c>
    </row>
    <row r="1023" spans="1:44" ht="12.75" customHeight="1">
      <c r="A1023" s="4">
        <f>DATE(82,4,27)</f>
        <v>30068</v>
      </c>
      <c r="C1023" s="2" t="s">
        <v>236</v>
      </c>
      <c r="E1023" s="18">
        <v>5</v>
      </c>
      <c r="F1023" s="18">
        <v>0</v>
      </c>
      <c r="G1023" s="18">
        <v>2</v>
      </c>
      <c r="H1023" s="18">
        <v>2</v>
      </c>
      <c r="I1023" s="18">
        <v>0</v>
      </c>
      <c r="J1023" s="18">
        <v>4</v>
      </c>
      <c r="T1023" s="3">
        <v>13</v>
      </c>
      <c r="U1023" s="3">
        <v>13</v>
      </c>
      <c r="V1023" s="3">
        <v>0</v>
      </c>
      <c r="X1023" s="2" t="s">
        <v>1313</v>
      </c>
      <c r="Y1023" s="18">
        <v>0</v>
      </c>
      <c r="Z1023" s="18">
        <v>0</v>
      </c>
      <c r="AA1023" s="18">
        <v>0</v>
      </c>
      <c r="AB1023" s="18">
        <v>3</v>
      </c>
      <c r="AC1023" s="18">
        <v>0</v>
      </c>
      <c r="AD1023" s="18">
        <v>0</v>
      </c>
      <c r="AN1023" s="3">
        <v>3</v>
      </c>
      <c r="AO1023" s="3">
        <v>9</v>
      </c>
      <c r="AP1023" s="3">
        <v>4</v>
      </c>
      <c r="AR1023" s="2" t="s">
        <v>1383</v>
      </c>
    </row>
    <row r="1024" spans="1:44" ht="12.75" customHeight="1">
      <c r="A1024" s="4">
        <f>DATE(83,4,5)</f>
        <v>30411</v>
      </c>
      <c r="C1024" s="2" t="s">
        <v>236</v>
      </c>
      <c r="E1024" s="18">
        <v>2</v>
      </c>
      <c r="F1024" s="18">
        <v>0</v>
      </c>
      <c r="G1024" s="18">
        <v>0</v>
      </c>
      <c r="H1024" s="18">
        <v>1</v>
      </c>
      <c r="I1024" s="18">
        <v>0</v>
      </c>
      <c r="J1024" s="18">
        <v>0</v>
      </c>
      <c r="K1024" s="18" t="s">
        <v>162</v>
      </c>
      <c r="T1024" s="3">
        <v>3</v>
      </c>
      <c r="U1024" s="3">
        <v>6</v>
      </c>
      <c r="V1024" s="3">
        <v>2</v>
      </c>
      <c r="X1024" s="2" t="s">
        <v>1339</v>
      </c>
      <c r="Y1024" s="18">
        <v>0</v>
      </c>
      <c r="Z1024" s="18">
        <v>1</v>
      </c>
      <c r="AA1024" s="18">
        <v>1</v>
      </c>
      <c r="AB1024" s="18">
        <v>0</v>
      </c>
      <c r="AC1024" s="18">
        <v>0</v>
      </c>
      <c r="AD1024" s="18">
        <v>0</v>
      </c>
      <c r="AE1024" s="18">
        <v>0</v>
      </c>
      <c r="AN1024" s="3">
        <v>2</v>
      </c>
      <c r="AO1024" s="3">
        <v>4</v>
      </c>
      <c r="AP1024" s="3">
        <v>4</v>
      </c>
      <c r="AR1024" s="2" t="s">
        <v>1401</v>
      </c>
    </row>
    <row r="1025" spans="1:44" ht="12.75" customHeight="1">
      <c r="A1025" s="4">
        <f>DATE(83,4,28)</f>
        <v>30434</v>
      </c>
      <c r="B1025" s="2" t="s">
        <v>152</v>
      </c>
      <c r="C1025" s="2" t="s">
        <v>236</v>
      </c>
      <c r="E1025" s="18">
        <v>5</v>
      </c>
      <c r="F1025" s="18">
        <v>2</v>
      </c>
      <c r="G1025" s="18">
        <v>2</v>
      </c>
      <c r="H1025" s="18">
        <v>0</v>
      </c>
      <c r="I1025" s="18">
        <v>0</v>
      </c>
      <c r="J1025" s="18">
        <v>0</v>
      </c>
      <c r="K1025" s="18">
        <v>3</v>
      </c>
      <c r="T1025" s="3">
        <v>12</v>
      </c>
      <c r="U1025" s="3">
        <v>9</v>
      </c>
      <c r="V1025" s="3">
        <v>1</v>
      </c>
      <c r="X1025" s="2" t="s">
        <v>1416</v>
      </c>
      <c r="Y1025" s="18">
        <v>0</v>
      </c>
      <c r="Z1025" s="18">
        <v>0</v>
      </c>
      <c r="AA1025" s="18">
        <v>3</v>
      </c>
      <c r="AB1025" s="18">
        <v>2</v>
      </c>
      <c r="AC1025" s="18">
        <v>0</v>
      </c>
      <c r="AD1025" s="18">
        <v>0</v>
      </c>
      <c r="AE1025" s="18">
        <v>0</v>
      </c>
      <c r="AN1025" s="3">
        <v>5</v>
      </c>
      <c r="AO1025" s="3">
        <v>11</v>
      </c>
      <c r="AP1025" s="3">
        <v>4</v>
      </c>
      <c r="AR1025" s="2" t="s">
        <v>1417</v>
      </c>
    </row>
    <row r="1026" spans="1:44" ht="12.75" customHeight="1">
      <c r="A1026" s="4">
        <f>DATE(84,4,9)</f>
        <v>30781</v>
      </c>
      <c r="B1026" s="2" t="s">
        <v>152</v>
      </c>
      <c r="C1026" s="2" t="s">
        <v>236</v>
      </c>
      <c r="E1026" s="18">
        <v>0</v>
      </c>
      <c r="F1026" s="18">
        <v>1</v>
      </c>
      <c r="G1026" s="18">
        <v>2</v>
      </c>
      <c r="H1026" s="18">
        <v>1</v>
      </c>
      <c r="I1026" s="18">
        <v>6</v>
      </c>
      <c r="T1026" s="3">
        <v>10</v>
      </c>
      <c r="U1026" s="3">
        <v>12</v>
      </c>
      <c r="V1026" s="3">
        <v>0</v>
      </c>
      <c r="X1026" s="2" t="s">
        <v>1410</v>
      </c>
      <c r="Y1026" s="18">
        <v>0</v>
      </c>
      <c r="Z1026" s="18">
        <v>0</v>
      </c>
      <c r="AA1026" s="18">
        <v>0</v>
      </c>
      <c r="AB1026" s="18">
        <v>0</v>
      </c>
      <c r="AC1026" s="18">
        <v>0</v>
      </c>
      <c r="AN1026" s="3">
        <v>0</v>
      </c>
      <c r="AO1026" s="3">
        <v>4</v>
      </c>
      <c r="AP1026" s="3">
        <v>2</v>
      </c>
      <c r="AR1026" s="2" t="s">
        <v>1452</v>
      </c>
    </row>
    <row r="1027" spans="1:44" ht="12.75" customHeight="1">
      <c r="A1027" s="4">
        <f>DATE(84,5,1)</f>
        <v>30803</v>
      </c>
      <c r="C1027" s="2" t="s">
        <v>236</v>
      </c>
      <c r="E1027" s="18">
        <v>9</v>
      </c>
      <c r="F1027" s="18">
        <v>2</v>
      </c>
      <c r="G1027" s="18">
        <v>0</v>
      </c>
      <c r="H1027" s="18">
        <v>0</v>
      </c>
      <c r="I1027" s="18">
        <v>0</v>
      </c>
      <c r="J1027" s="18">
        <v>1</v>
      </c>
      <c r="K1027" s="18">
        <v>2</v>
      </c>
      <c r="T1027" s="3">
        <v>14</v>
      </c>
      <c r="U1027" s="3">
        <v>13</v>
      </c>
      <c r="V1027" s="3">
        <v>2</v>
      </c>
      <c r="X1027" s="2" t="s">
        <v>1467</v>
      </c>
      <c r="Y1027" s="18">
        <v>0</v>
      </c>
      <c r="Z1027" s="18">
        <v>0</v>
      </c>
      <c r="AA1027" s="18">
        <v>0</v>
      </c>
      <c r="AB1027" s="18">
        <v>5</v>
      </c>
      <c r="AC1027" s="18">
        <v>8</v>
      </c>
      <c r="AD1027" s="18">
        <v>0</v>
      </c>
      <c r="AE1027" s="18">
        <v>0</v>
      </c>
      <c r="AN1027" s="3">
        <v>13</v>
      </c>
      <c r="AO1027" s="3">
        <v>13</v>
      </c>
      <c r="AP1027" s="3">
        <v>5</v>
      </c>
      <c r="AR1027" s="2" t="s">
        <v>1468</v>
      </c>
    </row>
    <row r="1028" spans="1:44" ht="12.75" customHeight="1">
      <c r="A1028" s="4">
        <f>DATE(85,4,17)</f>
        <v>31154</v>
      </c>
      <c r="B1028" s="2" t="s">
        <v>152</v>
      </c>
      <c r="C1028" s="2" t="s">
        <v>236</v>
      </c>
      <c r="E1028" s="18">
        <v>0</v>
      </c>
      <c r="F1028" s="18">
        <v>0</v>
      </c>
      <c r="G1028" s="18">
        <v>1</v>
      </c>
      <c r="H1028" s="18">
        <v>0</v>
      </c>
      <c r="I1028" s="18">
        <v>2</v>
      </c>
      <c r="J1028" s="18">
        <v>2</v>
      </c>
      <c r="K1028" s="18">
        <v>0</v>
      </c>
      <c r="T1028" s="3">
        <v>5</v>
      </c>
      <c r="U1028" s="3">
        <v>9</v>
      </c>
      <c r="V1028" s="3">
        <v>3</v>
      </c>
      <c r="X1028" s="2" t="s">
        <v>1486</v>
      </c>
      <c r="Y1028" s="18">
        <v>3</v>
      </c>
      <c r="Z1028" s="18">
        <v>2</v>
      </c>
      <c r="AA1028" s="18">
        <v>0</v>
      </c>
      <c r="AB1028" s="18">
        <v>1</v>
      </c>
      <c r="AC1028" s="18">
        <v>0</v>
      </c>
      <c r="AD1028" s="18">
        <v>0</v>
      </c>
      <c r="AE1028" s="18" t="s">
        <v>162</v>
      </c>
      <c r="AN1028" s="3">
        <v>6</v>
      </c>
      <c r="AO1028" s="3">
        <v>6</v>
      </c>
      <c r="AP1028" s="3">
        <v>2</v>
      </c>
      <c r="AR1028" s="2" t="s">
        <v>1487</v>
      </c>
    </row>
    <row r="1029" spans="1:44" ht="12.75" customHeight="1">
      <c r="A1029" s="4">
        <f>DATE(85,5,6)</f>
        <v>31173</v>
      </c>
      <c r="C1029" s="2" t="s">
        <v>236</v>
      </c>
      <c r="E1029" s="18">
        <v>0</v>
      </c>
      <c r="F1029" s="18">
        <v>0</v>
      </c>
      <c r="G1029" s="18">
        <v>0</v>
      </c>
      <c r="H1029" s="18">
        <v>0</v>
      </c>
      <c r="I1029" s="18">
        <v>6</v>
      </c>
      <c r="J1029" s="18">
        <v>0</v>
      </c>
      <c r="K1029" s="18">
        <v>1</v>
      </c>
      <c r="T1029" s="3">
        <v>7</v>
      </c>
      <c r="U1029" s="3">
        <v>4</v>
      </c>
      <c r="V1029" s="3">
        <v>2</v>
      </c>
      <c r="X1029" s="2" t="s">
        <v>1457</v>
      </c>
      <c r="Y1029" s="18">
        <v>0</v>
      </c>
      <c r="Z1029" s="18">
        <v>0</v>
      </c>
      <c r="AA1029" s="18">
        <v>0</v>
      </c>
      <c r="AB1029" s="18">
        <v>0</v>
      </c>
      <c r="AC1029" s="18">
        <v>2</v>
      </c>
      <c r="AD1029" s="18">
        <v>0</v>
      </c>
      <c r="AE1029" s="18">
        <v>4</v>
      </c>
      <c r="AN1029" s="3">
        <v>6</v>
      </c>
      <c r="AO1029" s="3">
        <v>6</v>
      </c>
      <c r="AP1029" s="3">
        <v>0</v>
      </c>
      <c r="AR1029" s="2" t="s">
        <v>1506</v>
      </c>
    </row>
    <row r="1030" spans="1:44" ht="12.75" customHeight="1">
      <c r="A1030" s="4">
        <f>DATE(86,4,14)</f>
        <v>31516</v>
      </c>
      <c r="B1030" s="2" t="s">
        <v>152</v>
      </c>
      <c r="C1030" s="2" t="s">
        <v>236</v>
      </c>
      <c r="E1030" s="18">
        <v>1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T1030" s="3">
        <v>1</v>
      </c>
      <c r="U1030" s="3">
        <v>4</v>
      </c>
      <c r="V1030" s="3">
        <v>2</v>
      </c>
      <c r="X1030" s="2" t="s">
        <v>1528</v>
      </c>
      <c r="Y1030" s="18">
        <v>0</v>
      </c>
      <c r="Z1030" s="18">
        <v>0</v>
      </c>
      <c r="AA1030" s="18">
        <v>0</v>
      </c>
      <c r="AB1030" s="18">
        <v>4</v>
      </c>
      <c r="AC1030" s="18">
        <v>1</v>
      </c>
      <c r="AD1030" s="18">
        <v>1</v>
      </c>
      <c r="AE1030" s="18" t="s">
        <v>162</v>
      </c>
      <c r="AN1030" s="3">
        <v>6</v>
      </c>
      <c r="AO1030" s="3">
        <v>12</v>
      </c>
      <c r="AP1030" s="3">
        <v>1</v>
      </c>
      <c r="AR1030" s="2" t="s">
        <v>1529</v>
      </c>
    </row>
    <row r="1031" spans="1:44" ht="12.75" customHeight="1">
      <c r="A1031" s="4">
        <f>DATE(86,5,6)</f>
        <v>31538</v>
      </c>
      <c r="C1031" s="2" t="s">
        <v>236</v>
      </c>
      <c r="E1031" s="18">
        <v>0</v>
      </c>
      <c r="F1031" s="18">
        <v>0</v>
      </c>
      <c r="G1031" s="18">
        <v>0</v>
      </c>
      <c r="H1031" s="18">
        <v>2</v>
      </c>
      <c r="I1031" s="18">
        <v>0</v>
      </c>
      <c r="T1031" s="3">
        <v>2</v>
      </c>
      <c r="U1031" s="3">
        <v>4</v>
      </c>
      <c r="V1031" s="3">
        <v>4</v>
      </c>
      <c r="X1031" s="2" t="s">
        <v>1542</v>
      </c>
      <c r="Y1031" s="18">
        <v>0</v>
      </c>
      <c r="Z1031" s="18">
        <v>2</v>
      </c>
      <c r="AA1031" s="18">
        <v>3</v>
      </c>
      <c r="AB1031" s="18">
        <v>3</v>
      </c>
      <c r="AC1031" s="18">
        <v>7</v>
      </c>
      <c r="AN1031" s="3">
        <v>15</v>
      </c>
      <c r="AO1031" s="3">
        <v>10</v>
      </c>
      <c r="AP1031" s="3">
        <v>0</v>
      </c>
      <c r="AR1031" s="2" t="s">
        <v>1543</v>
      </c>
    </row>
    <row r="1032" spans="1:44" ht="12.75" customHeight="1">
      <c r="A1032" s="4">
        <f>DATE(87,4,15)</f>
        <v>31882</v>
      </c>
      <c r="B1032" s="2" t="s">
        <v>152</v>
      </c>
      <c r="C1032" s="2" t="s">
        <v>236</v>
      </c>
      <c r="E1032" s="18">
        <v>1</v>
      </c>
      <c r="F1032" s="18">
        <v>0</v>
      </c>
      <c r="G1032" s="18">
        <v>0</v>
      </c>
      <c r="H1032" s="18">
        <v>1</v>
      </c>
      <c r="I1032" s="18">
        <v>1</v>
      </c>
      <c r="J1032" s="18">
        <v>0</v>
      </c>
      <c r="K1032" s="18">
        <v>0</v>
      </c>
      <c r="T1032" s="3">
        <v>3</v>
      </c>
      <c r="U1032" s="3">
        <v>5</v>
      </c>
      <c r="V1032" s="3">
        <v>2</v>
      </c>
      <c r="X1032" s="2" t="s">
        <v>1568</v>
      </c>
      <c r="Y1032" s="18">
        <v>0</v>
      </c>
      <c r="Z1032" s="18">
        <v>2</v>
      </c>
      <c r="AA1032" s="18">
        <v>0</v>
      </c>
      <c r="AB1032" s="18">
        <v>0</v>
      </c>
      <c r="AC1032" s="18">
        <v>0</v>
      </c>
      <c r="AD1032" s="18">
        <v>1</v>
      </c>
      <c r="AE1032" s="18">
        <v>2</v>
      </c>
      <c r="AN1032" s="3">
        <v>5</v>
      </c>
      <c r="AO1032" s="3">
        <v>6</v>
      </c>
      <c r="AP1032" s="3">
        <v>2</v>
      </c>
      <c r="AR1032" s="2" t="s">
        <v>1569</v>
      </c>
    </row>
    <row r="1033" spans="1:44" ht="12.75" customHeight="1">
      <c r="A1033" s="4">
        <f>DATE(87,5,7)</f>
        <v>31904</v>
      </c>
      <c r="C1033" s="2" t="s">
        <v>236</v>
      </c>
      <c r="E1033" s="18">
        <v>5</v>
      </c>
      <c r="F1033" s="18">
        <v>3</v>
      </c>
      <c r="G1033" s="18">
        <v>0</v>
      </c>
      <c r="H1033" s="18">
        <v>2</v>
      </c>
      <c r="I1033" s="18">
        <v>4</v>
      </c>
      <c r="J1033" s="18">
        <v>0</v>
      </c>
      <c r="K1033" s="18" t="s">
        <v>162</v>
      </c>
      <c r="T1033" s="3">
        <v>14</v>
      </c>
      <c r="U1033" s="3">
        <v>13</v>
      </c>
      <c r="V1033" s="3">
        <v>1</v>
      </c>
      <c r="X1033" s="2" t="s">
        <v>1581</v>
      </c>
      <c r="Y1033" s="18">
        <v>6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  <c r="AE1033" s="18">
        <v>0</v>
      </c>
      <c r="AN1033" s="3">
        <v>6</v>
      </c>
      <c r="AO1033" s="3">
        <v>9</v>
      </c>
      <c r="AP1033" s="3">
        <v>2</v>
      </c>
      <c r="AR1033" s="2" t="s">
        <v>1582</v>
      </c>
    </row>
    <row r="1034" spans="1:44" ht="12.75" customHeight="1">
      <c r="A1034" s="4">
        <f>DATE(88,4,21)</f>
        <v>32254</v>
      </c>
      <c r="B1034" s="2" t="s">
        <v>152</v>
      </c>
      <c r="C1034" s="2" t="s">
        <v>236</v>
      </c>
      <c r="E1034" s="18">
        <v>2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T1034" s="3">
        <v>2</v>
      </c>
      <c r="U1034" s="3">
        <v>4</v>
      </c>
      <c r="V1034" s="3">
        <v>4</v>
      </c>
      <c r="X1034" s="2" t="s">
        <v>1610</v>
      </c>
      <c r="Y1034" s="18">
        <v>0</v>
      </c>
      <c r="Z1034" s="18">
        <v>0</v>
      </c>
      <c r="AA1034" s="18">
        <v>3</v>
      </c>
      <c r="AB1034" s="18">
        <v>0</v>
      </c>
      <c r="AC1034" s="18">
        <v>1</v>
      </c>
      <c r="AD1034" s="18">
        <v>0</v>
      </c>
      <c r="AE1034" s="18" t="s">
        <v>162</v>
      </c>
      <c r="AN1034" s="3">
        <v>4</v>
      </c>
      <c r="AO1034" s="3">
        <v>5</v>
      </c>
      <c r="AP1034" s="3">
        <v>1</v>
      </c>
      <c r="AR1034" s="2" t="s">
        <v>1569</v>
      </c>
    </row>
    <row r="1035" spans="1:44" ht="12.75" customHeight="1">
      <c r="A1035" s="4">
        <f>DATE(88,5,17)</f>
        <v>32280</v>
      </c>
      <c r="C1035" s="2" t="s">
        <v>236</v>
      </c>
      <c r="E1035" s="18">
        <v>0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T1035" s="3">
        <v>0</v>
      </c>
      <c r="U1035" s="3">
        <v>5</v>
      </c>
      <c r="V1035" s="3">
        <v>1</v>
      </c>
      <c r="X1035" s="2" t="s">
        <v>1621</v>
      </c>
      <c r="Y1035" s="18">
        <v>0</v>
      </c>
      <c r="Z1035" s="18">
        <v>0</v>
      </c>
      <c r="AA1035" s="18">
        <v>0</v>
      </c>
      <c r="AB1035" s="18">
        <v>4</v>
      </c>
      <c r="AC1035" s="18">
        <v>1</v>
      </c>
      <c r="AD1035" s="18">
        <v>0</v>
      </c>
      <c r="AE1035" s="18">
        <v>0</v>
      </c>
      <c r="AN1035" s="3">
        <v>5</v>
      </c>
      <c r="AO1035" s="3">
        <v>9</v>
      </c>
      <c r="AP1035" s="3">
        <v>0</v>
      </c>
      <c r="AR1035" s="2" t="s">
        <v>1569</v>
      </c>
    </row>
    <row r="1036" spans="1:44" ht="12.75" customHeight="1">
      <c r="A1036" s="4">
        <f>DATE(89,4,25)</f>
        <v>32623</v>
      </c>
      <c r="C1036" s="2" t="s">
        <v>236</v>
      </c>
      <c r="E1036" s="18">
        <v>1</v>
      </c>
      <c r="F1036" s="18">
        <v>0</v>
      </c>
      <c r="G1036" s="18">
        <v>4</v>
      </c>
      <c r="H1036" s="18">
        <v>0</v>
      </c>
      <c r="I1036" s="18">
        <v>1</v>
      </c>
      <c r="J1036" s="18">
        <v>5</v>
      </c>
      <c r="K1036" s="18" t="s">
        <v>162</v>
      </c>
      <c r="T1036" s="3">
        <v>11</v>
      </c>
      <c r="U1036" s="3">
        <v>8</v>
      </c>
      <c r="V1036" s="3">
        <v>4</v>
      </c>
      <c r="X1036" s="2" t="s">
        <v>1636</v>
      </c>
      <c r="Y1036" s="18">
        <v>2</v>
      </c>
      <c r="Z1036" s="18">
        <v>0</v>
      </c>
      <c r="AA1036" s="18">
        <v>0</v>
      </c>
      <c r="AB1036" s="18">
        <v>2</v>
      </c>
      <c r="AC1036" s="18">
        <v>4</v>
      </c>
      <c r="AD1036" s="18">
        <v>1</v>
      </c>
      <c r="AE1036" s="18">
        <v>0</v>
      </c>
      <c r="AN1036" s="3">
        <v>9</v>
      </c>
      <c r="AO1036" s="3">
        <v>10</v>
      </c>
      <c r="AP1036" s="3">
        <v>7</v>
      </c>
      <c r="AR1036" s="2" t="s">
        <v>1646</v>
      </c>
    </row>
    <row r="1037" spans="1:44" ht="12.75" customHeight="1">
      <c r="A1037" s="4">
        <f>DATE(90,4,9)</f>
        <v>32972</v>
      </c>
      <c r="C1037" s="2" t="s">
        <v>236</v>
      </c>
      <c r="E1037" s="18">
        <v>2</v>
      </c>
      <c r="F1037" s="18">
        <v>0</v>
      </c>
      <c r="G1037" s="18">
        <v>2</v>
      </c>
      <c r="H1037" s="18">
        <v>1</v>
      </c>
      <c r="I1037" s="18">
        <v>1</v>
      </c>
      <c r="J1037" s="18">
        <v>3</v>
      </c>
      <c r="K1037" s="18" t="s">
        <v>162</v>
      </c>
      <c r="T1037" s="3">
        <v>9</v>
      </c>
      <c r="U1037" s="3">
        <v>13</v>
      </c>
      <c r="V1037" s="3">
        <v>2</v>
      </c>
      <c r="X1037" s="2" t="s">
        <v>1669</v>
      </c>
      <c r="Y1037" s="18">
        <v>0</v>
      </c>
      <c r="Z1037" s="18">
        <v>0</v>
      </c>
      <c r="AA1037" s="18">
        <v>1</v>
      </c>
      <c r="AB1037" s="18">
        <v>0</v>
      </c>
      <c r="AC1037" s="18">
        <v>0</v>
      </c>
      <c r="AD1037" s="18">
        <v>0</v>
      </c>
      <c r="AE1037" s="18">
        <v>0</v>
      </c>
      <c r="AN1037" s="3">
        <v>1</v>
      </c>
      <c r="AO1037" s="3">
        <v>1</v>
      </c>
      <c r="AP1037" s="3">
        <v>4</v>
      </c>
      <c r="AR1037" s="2" t="s">
        <v>1685</v>
      </c>
    </row>
    <row r="1038" spans="1:44" ht="12.75" customHeight="1">
      <c r="A1038" s="4">
        <f>DATE(90,4,25)</f>
        <v>32988</v>
      </c>
      <c r="C1038" s="2" t="s">
        <v>236</v>
      </c>
      <c r="E1038" s="18">
        <v>1</v>
      </c>
      <c r="F1038" s="18">
        <v>0</v>
      </c>
      <c r="G1038" s="18">
        <v>0</v>
      </c>
      <c r="H1038" s="18">
        <v>3</v>
      </c>
      <c r="I1038" s="18">
        <v>2</v>
      </c>
      <c r="J1038" s="18">
        <v>0</v>
      </c>
      <c r="K1038" s="18">
        <v>0</v>
      </c>
      <c r="T1038" s="3">
        <v>6</v>
      </c>
      <c r="U1038" s="3">
        <v>5</v>
      </c>
      <c r="V1038" s="3">
        <v>0</v>
      </c>
      <c r="X1038" s="2" t="s">
        <v>1636</v>
      </c>
      <c r="Y1038" s="18"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1</v>
      </c>
      <c r="AE1038" s="18">
        <v>0</v>
      </c>
      <c r="AN1038" s="3">
        <v>1</v>
      </c>
      <c r="AO1038" s="3">
        <v>2</v>
      </c>
      <c r="AP1038" s="3">
        <v>6</v>
      </c>
      <c r="AR1038" s="2" t="s">
        <v>1694</v>
      </c>
    </row>
    <row r="1039" spans="1:44" ht="12.75" customHeight="1">
      <c r="A1039" s="4">
        <f>DATE(91,4,3)</f>
        <v>33331</v>
      </c>
      <c r="B1039" s="2" t="s">
        <v>152</v>
      </c>
      <c r="C1039" s="2" t="s">
        <v>236</v>
      </c>
      <c r="E1039" s="18">
        <v>0</v>
      </c>
      <c r="F1039" s="18">
        <v>0</v>
      </c>
      <c r="G1039" s="18">
        <v>3</v>
      </c>
      <c r="H1039" s="18">
        <v>0</v>
      </c>
      <c r="I1039" s="18">
        <v>1</v>
      </c>
      <c r="J1039" s="18">
        <v>4</v>
      </c>
      <c r="T1039" s="3">
        <v>8</v>
      </c>
      <c r="U1039" s="3">
        <v>14</v>
      </c>
      <c r="V1039" s="3">
        <v>2</v>
      </c>
      <c r="X1039" s="2" t="s">
        <v>1717</v>
      </c>
      <c r="Y1039" s="18">
        <v>6</v>
      </c>
      <c r="Z1039" s="18">
        <v>0</v>
      </c>
      <c r="AA1039" s="18">
        <v>0</v>
      </c>
      <c r="AB1039" s="18">
        <v>3</v>
      </c>
      <c r="AC1039" s="18">
        <v>0</v>
      </c>
      <c r="AD1039" s="18">
        <v>9</v>
      </c>
      <c r="AN1039" s="3">
        <v>18</v>
      </c>
      <c r="AO1039" s="3">
        <v>17</v>
      </c>
      <c r="AP1039" s="3">
        <v>1</v>
      </c>
      <c r="AR1039" s="2" t="s">
        <v>1718</v>
      </c>
    </row>
    <row r="1040" spans="1:44" ht="12.75" customHeight="1">
      <c r="A1040" s="4">
        <f>DATE(91,5,9)</f>
        <v>33367</v>
      </c>
      <c r="C1040" s="2" t="s">
        <v>236</v>
      </c>
      <c r="E1040" s="18">
        <v>0</v>
      </c>
      <c r="F1040" s="18">
        <v>0</v>
      </c>
      <c r="G1040" s="18">
        <v>1</v>
      </c>
      <c r="H1040" s="18">
        <v>0</v>
      </c>
      <c r="I1040" s="18">
        <v>5</v>
      </c>
      <c r="J1040" s="18">
        <v>3</v>
      </c>
      <c r="K1040" s="18" t="s">
        <v>162</v>
      </c>
      <c r="T1040" s="3">
        <v>9</v>
      </c>
      <c r="U1040" s="3">
        <v>6</v>
      </c>
      <c r="V1040" s="3">
        <v>0</v>
      </c>
      <c r="X1040" s="2" t="s">
        <v>1739</v>
      </c>
      <c r="Y1040" s="18">
        <v>0</v>
      </c>
      <c r="Z1040" s="18">
        <v>0</v>
      </c>
      <c r="AA1040" s="18">
        <v>0</v>
      </c>
      <c r="AB1040" s="18">
        <v>1</v>
      </c>
      <c r="AC1040" s="18">
        <v>5</v>
      </c>
      <c r="AD1040" s="18">
        <v>0</v>
      </c>
      <c r="AE1040" s="18">
        <v>0</v>
      </c>
      <c r="AN1040" s="3">
        <v>6</v>
      </c>
      <c r="AO1040" s="3">
        <v>7</v>
      </c>
      <c r="AP1040" s="3">
        <v>2</v>
      </c>
      <c r="AR1040" s="2" t="s">
        <v>1740</v>
      </c>
    </row>
    <row r="1041" spans="1:44" ht="12.75" customHeight="1">
      <c r="A1041" s="4">
        <f>DATE(92,4,11)</f>
        <v>33705</v>
      </c>
      <c r="B1041" s="2" t="s">
        <v>152</v>
      </c>
      <c r="C1041" s="2" t="s">
        <v>236</v>
      </c>
      <c r="E1041" s="18">
        <v>4</v>
      </c>
      <c r="F1041" s="18">
        <v>1</v>
      </c>
      <c r="G1041" s="18">
        <v>1</v>
      </c>
      <c r="H1041" s="18">
        <v>0</v>
      </c>
      <c r="I1041" s="18">
        <v>3</v>
      </c>
      <c r="J1041" s="18">
        <v>3</v>
      </c>
      <c r="K1041" s="18">
        <v>6</v>
      </c>
      <c r="T1041" s="3">
        <v>18</v>
      </c>
      <c r="U1041" s="3">
        <v>19</v>
      </c>
      <c r="V1041" s="3">
        <v>4</v>
      </c>
      <c r="X1041" s="2" t="s">
        <v>1754</v>
      </c>
      <c r="Y1041" s="18">
        <v>1</v>
      </c>
      <c r="Z1041" s="18">
        <v>0</v>
      </c>
      <c r="AA1041" s="18">
        <v>4</v>
      </c>
      <c r="AB1041" s="18">
        <v>5</v>
      </c>
      <c r="AC1041" s="18">
        <v>0</v>
      </c>
      <c r="AD1041" s="18">
        <v>0</v>
      </c>
      <c r="AE1041" s="18">
        <v>0</v>
      </c>
      <c r="AN1041" s="3">
        <f aca="true" t="shared" si="35" ref="AN1041:AN1084">SUM(Y1041:AM1041)</f>
        <v>10</v>
      </c>
      <c r="AO1041" s="3">
        <v>12</v>
      </c>
      <c r="AP1041" s="3">
        <v>3</v>
      </c>
      <c r="AR1041" s="2" t="s">
        <v>1786</v>
      </c>
    </row>
    <row r="1042" spans="1:44" ht="12.75" customHeight="1">
      <c r="A1042" s="4">
        <f>DATE(92,5,12)</f>
        <v>33736</v>
      </c>
      <c r="C1042" s="2" t="s">
        <v>236</v>
      </c>
      <c r="E1042" s="18">
        <v>4</v>
      </c>
      <c r="F1042" s="18">
        <v>1</v>
      </c>
      <c r="G1042" s="18">
        <v>2</v>
      </c>
      <c r="H1042" s="18">
        <v>3</v>
      </c>
      <c r="I1042" s="18">
        <v>0</v>
      </c>
      <c r="J1042" s="18">
        <v>3</v>
      </c>
      <c r="K1042" s="18" t="s">
        <v>162</v>
      </c>
      <c r="T1042" s="3">
        <v>13</v>
      </c>
      <c r="U1042" s="3">
        <v>13</v>
      </c>
      <c r="V1042" s="3">
        <v>1</v>
      </c>
      <c r="X1042" s="2" t="s">
        <v>1796</v>
      </c>
      <c r="Y1042" s="18">
        <v>0</v>
      </c>
      <c r="Z1042" s="18">
        <v>0</v>
      </c>
      <c r="AA1042" s="18">
        <v>0</v>
      </c>
      <c r="AB1042" s="18">
        <v>3</v>
      </c>
      <c r="AC1042" s="18">
        <v>0</v>
      </c>
      <c r="AD1042" s="18">
        <v>0</v>
      </c>
      <c r="AN1042" s="3">
        <f t="shared" si="35"/>
        <v>3</v>
      </c>
      <c r="AO1042" s="3">
        <v>5</v>
      </c>
      <c r="AP1042" s="3">
        <v>3</v>
      </c>
      <c r="AR1042" s="2" t="s">
        <v>1805</v>
      </c>
    </row>
    <row r="1043" spans="1:44" ht="12.75" customHeight="1">
      <c r="A1043" s="4">
        <v>34071</v>
      </c>
      <c r="B1043" s="2" t="s">
        <v>152</v>
      </c>
      <c r="C1043" s="2" t="s">
        <v>236</v>
      </c>
      <c r="E1043" s="18">
        <v>1</v>
      </c>
      <c r="F1043" s="18">
        <v>0</v>
      </c>
      <c r="G1043" s="18">
        <v>1</v>
      </c>
      <c r="H1043" s="18">
        <v>0</v>
      </c>
      <c r="I1043" s="18">
        <v>0</v>
      </c>
      <c r="J1043" s="18">
        <v>1</v>
      </c>
      <c r="K1043" s="18">
        <v>0</v>
      </c>
      <c r="T1043" s="3">
        <f aca="true" t="shared" si="36" ref="T1043:T1084">SUM(E1043:S1043)</f>
        <v>3</v>
      </c>
      <c r="U1043" s="3">
        <v>7</v>
      </c>
      <c r="V1043" s="3">
        <v>1</v>
      </c>
      <c r="X1043" s="2" t="s">
        <v>1818</v>
      </c>
      <c r="Y1043" s="18">
        <v>0</v>
      </c>
      <c r="Z1043" s="18">
        <v>3</v>
      </c>
      <c r="AA1043" s="18">
        <v>3</v>
      </c>
      <c r="AB1043" s="18">
        <v>0</v>
      </c>
      <c r="AC1043" s="18">
        <v>0</v>
      </c>
      <c r="AD1043" s="18">
        <v>1</v>
      </c>
      <c r="AE1043" s="18" t="s">
        <v>162</v>
      </c>
      <c r="AN1043" s="3">
        <f t="shared" si="35"/>
        <v>7</v>
      </c>
      <c r="AO1043" s="3">
        <v>10</v>
      </c>
      <c r="AP1043" s="3">
        <v>0</v>
      </c>
      <c r="AR1043" s="2" t="s">
        <v>1819</v>
      </c>
    </row>
    <row r="1044" spans="1:44" ht="12.75" customHeight="1">
      <c r="A1044" s="4">
        <f>DATE(93,4,28)</f>
        <v>34087</v>
      </c>
      <c r="C1044" s="2" t="s">
        <v>236</v>
      </c>
      <c r="E1044" s="18">
        <v>1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T1044" s="3">
        <f t="shared" si="36"/>
        <v>1</v>
      </c>
      <c r="U1044" s="3">
        <v>4</v>
      </c>
      <c r="V1044" s="3">
        <v>2</v>
      </c>
      <c r="X1044" s="2" t="s">
        <v>1828</v>
      </c>
      <c r="Y1044" s="18">
        <v>0</v>
      </c>
      <c r="Z1044" s="18">
        <v>4</v>
      </c>
      <c r="AA1044" s="18">
        <v>0</v>
      </c>
      <c r="AB1044" s="18">
        <v>0</v>
      </c>
      <c r="AC1044" s="18">
        <v>0</v>
      </c>
      <c r="AD1044" s="18">
        <v>3</v>
      </c>
      <c r="AE1044" s="18">
        <v>0</v>
      </c>
      <c r="AN1044" s="3">
        <f t="shared" si="35"/>
        <v>7</v>
      </c>
      <c r="AO1044" s="3">
        <v>8</v>
      </c>
      <c r="AP1044" s="3">
        <v>0</v>
      </c>
      <c r="AR1044" s="2" t="s">
        <v>1829</v>
      </c>
    </row>
    <row r="1045" spans="1:44" ht="12.75" customHeight="1">
      <c r="A1045" s="4">
        <f>DATE(94,4,15)</f>
        <v>34439</v>
      </c>
      <c r="B1045" s="2" t="s">
        <v>152</v>
      </c>
      <c r="C1045" s="2" t="s">
        <v>236</v>
      </c>
      <c r="E1045" s="18">
        <v>4</v>
      </c>
      <c r="F1045" s="18">
        <v>0</v>
      </c>
      <c r="G1045" s="18">
        <v>1</v>
      </c>
      <c r="H1045" s="18">
        <v>0</v>
      </c>
      <c r="I1045" s="18">
        <v>2</v>
      </c>
      <c r="J1045" s="18">
        <v>5</v>
      </c>
      <c r="K1045" s="18">
        <v>6</v>
      </c>
      <c r="T1045" s="3">
        <f t="shared" si="36"/>
        <v>18</v>
      </c>
      <c r="U1045" s="3">
        <v>13</v>
      </c>
      <c r="V1045" s="3">
        <v>1</v>
      </c>
      <c r="X1045" s="2" t="s">
        <v>1796</v>
      </c>
      <c r="Y1045" s="18">
        <v>0</v>
      </c>
      <c r="Z1045" s="18">
        <v>0</v>
      </c>
      <c r="AA1045" s="18">
        <v>0</v>
      </c>
      <c r="AB1045" s="18">
        <v>3</v>
      </c>
      <c r="AC1045" s="18">
        <v>0</v>
      </c>
      <c r="AD1045" s="18">
        <v>1</v>
      </c>
      <c r="AE1045" s="18">
        <v>1</v>
      </c>
      <c r="AN1045" s="3">
        <f t="shared" si="35"/>
        <v>5</v>
      </c>
      <c r="AO1045" s="3">
        <v>6</v>
      </c>
      <c r="AP1045" s="3">
        <v>6</v>
      </c>
      <c r="AR1045" s="2" t="s">
        <v>1852</v>
      </c>
    </row>
    <row r="1046" spans="1:44" ht="12.75" customHeight="1">
      <c r="A1046" s="4">
        <f>DATE(94,5,2)</f>
        <v>34456</v>
      </c>
      <c r="C1046" s="2" t="s">
        <v>236</v>
      </c>
      <c r="E1046" s="18">
        <v>0</v>
      </c>
      <c r="F1046" s="18">
        <v>0</v>
      </c>
      <c r="G1046" s="18">
        <v>2</v>
      </c>
      <c r="H1046" s="18">
        <v>1</v>
      </c>
      <c r="I1046" s="18">
        <v>3</v>
      </c>
      <c r="T1046" s="3">
        <f t="shared" si="36"/>
        <v>6</v>
      </c>
      <c r="U1046" s="3">
        <v>5</v>
      </c>
      <c r="V1046" s="3">
        <v>2</v>
      </c>
      <c r="X1046" s="2" t="s">
        <v>1866</v>
      </c>
      <c r="Y1046" s="18">
        <v>3</v>
      </c>
      <c r="Z1046" s="18">
        <v>0</v>
      </c>
      <c r="AA1046" s="18">
        <v>0</v>
      </c>
      <c r="AB1046" s="18">
        <v>7</v>
      </c>
      <c r="AC1046" s="18">
        <v>8</v>
      </c>
      <c r="AN1046" s="3">
        <f t="shared" si="35"/>
        <v>18</v>
      </c>
      <c r="AO1046" s="3">
        <v>12</v>
      </c>
      <c r="AP1046" s="3">
        <v>3</v>
      </c>
      <c r="AR1046" s="2" t="s">
        <v>1867</v>
      </c>
    </row>
    <row r="1047" spans="1:44" ht="12.75" customHeight="1">
      <c r="A1047" s="4">
        <f>DATE(95,4,20)</f>
        <v>34809</v>
      </c>
      <c r="B1047" s="2" t="s">
        <v>152</v>
      </c>
      <c r="C1047" s="2" t="s">
        <v>236</v>
      </c>
      <c r="E1047" s="18">
        <v>0</v>
      </c>
      <c r="F1047" s="18">
        <v>1</v>
      </c>
      <c r="G1047" s="18">
        <v>0</v>
      </c>
      <c r="H1047" s="18">
        <v>0</v>
      </c>
      <c r="I1047" s="18">
        <v>1</v>
      </c>
      <c r="J1047" s="18">
        <v>0</v>
      </c>
      <c r="K1047" s="18">
        <v>0</v>
      </c>
      <c r="L1047" s="18">
        <v>0</v>
      </c>
      <c r="T1047" s="3">
        <f t="shared" si="36"/>
        <v>2</v>
      </c>
      <c r="U1047" s="3">
        <v>6</v>
      </c>
      <c r="V1047" s="3">
        <v>1</v>
      </c>
      <c r="X1047" s="2" t="s">
        <v>1887</v>
      </c>
      <c r="Y1047" s="18">
        <v>0</v>
      </c>
      <c r="Z1047" s="18">
        <v>0</v>
      </c>
      <c r="AA1047" s="18">
        <v>0</v>
      </c>
      <c r="AB1047" s="18">
        <v>1</v>
      </c>
      <c r="AC1047" s="18">
        <v>0</v>
      </c>
      <c r="AD1047" s="18">
        <v>0</v>
      </c>
      <c r="AE1047" s="18">
        <v>1</v>
      </c>
      <c r="AF1047" s="18">
        <v>1</v>
      </c>
      <c r="AN1047" s="3">
        <f t="shared" si="35"/>
        <v>3</v>
      </c>
      <c r="AO1047" s="3">
        <v>13</v>
      </c>
      <c r="AP1047" s="3">
        <v>0</v>
      </c>
      <c r="AR1047" s="2" t="s">
        <v>1888</v>
      </c>
    </row>
    <row r="1048" spans="1:44" ht="12.75" customHeight="1">
      <c r="A1048" s="4">
        <f>DATE(95,4,26)</f>
        <v>34815</v>
      </c>
      <c r="B1048" s="2" t="s">
        <v>152</v>
      </c>
      <c r="C1048" s="2" t="s">
        <v>236</v>
      </c>
      <c r="E1048" s="18">
        <v>0</v>
      </c>
      <c r="F1048" s="18">
        <v>0</v>
      </c>
      <c r="G1048" s="18">
        <v>3</v>
      </c>
      <c r="H1048" s="18">
        <v>6</v>
      </c>
      <c r="I1048" s="18">
        <v>3</v>
      </c>
      <c r="T1048" s="3">
        <f t="shared" si="36"/>
        <v>12</v>
      </c>
      <c r="U1048" s="3">
        <v>10</v>
      </c>
      <c r="V1048" s="3">
        <v>1</v>
      </c>
      <c r="X1048" s="2" t="s">
        <v>1843</v>
      </c>
      <c r="Y1048" s="18">
        <v>0</v>
      </c>
      <c r="Z1048" s="18">
        <v>0</v>
      </c>
      <c r="AA1048" s="18">
        <v>1</v>
      </c>
      <c r="AB1048" s="18">
        <v>0</v>
      </c>
      <c r="AC1048" s="18">
        <v>0</v>
      </c>
      <c r="AN1048" s="3">
        <f t="shared" si="35"/>
        <v>1</v>
      </c>
      <c r="AO1048" s="3">
        <v>2</v>
      </c>
      <c r="AP1048" s="3">
        <v>2</v>
      </c>
      <c r="AR1048" s="2" t="s">
        <v>1892</v>
      </c>
    </row>
    <row r="1049" spans="1:44" ht="12.75" customHeight="1">
      <c r="A1049" s="4">
        <f>DATE(95,5,5)</f>
        <v>34824</v>
      </c>
      <c r="C1049" s="2" t="s">
        <v>236</v>
      </c>
      <c r="E1049" s="18">
        <v>0</v>
      </c>
      <c r="F1049" s="18">
        <v>0</v>
      </c>
      <c r="G1049" s="18">
        <v>2</v>
      </c>
      <c r="H1049" s="18">
        <v>0</v>
      </c>
      <c r="I1049" s="18">
        <v>0</v>
      </c>
      <c r="J1049" s="18">
        <v>1</v>
      </c>
      <c r="K1049" s="18">
        <v>2</v>
      </c>
      <c r="T1049" s="3">
        <f t="shared" si="36"/>
        <v>5</v>
      </c>
      <c r="U1049" s="3">
        <v>6</v>
      </c>
      <c r="V1049" s="3">
        <v>1</v>
      </c>
      <c r="X1049" s="2" t="s">
        <v>1893</v>
      </c>
      <c r="Y1049" s="18">
        <v>3</v>
      </c>
      <c r="Z1049" s="18">
        <v>0</v>
      </c>
      <c r="AA1049" s="18">
        <v>1</v>
      </c>
      <c r="AB1049" s="18">
        <v>0</v>
      </c>
      <c r="AC1049" s="18">
        <v>1</v>
      </c>
      <c r="AD1049" s="18">
        <v>0</v>
      </c>
      <c r="AE1049" s="18">
        <v>1</v>
      </c>
      <c r="AN1049" s="3">
        <f t="shared" si="35"/>
        <v>6</v>
      </c>
      <c r="AO1049" s="3">
        <v>7</v>
      </c>
      <c r="AP1049" s="3">
        <v>1</v>
      </c>
      <c r="AR1049" s="2" t="s">
        <v>1898</v>
      </c>
    </row>
    <row r="1050" spans="1:44" ht="12.75" customHeight="1">
      <c r="A1050" s="4">
        <v>35158</v>
      </c>
      <c r="B1050" s="2" t="s">
        <v>152</v>
      </c>
      <c r="C1050" s="2" t="s">
        <v>236</v>
      </c>
      <c r="E1050" s="18">
        <v>1</v>
      </c>
      <c r="F1050" s="18">
        <v>0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T1050" s="3">
        <f t="shared" si="36"/>
        <v>1</v>
      </c>
      <c r="U1050" s="3">
        <v>1</v>
      </c>
      <c r="V1050" s="3">
        <v>1</v>
      </c>
      <c r="X1050" s="2" t="s">
        <v>1262</v>
      </c>
      <c r="Y1050" s="18">
        <v>0</v>
      </c>
      <c r="Z1050" s="18">
        <v>0</v>
      </c>
      <c r="AA1050" s="18">
        <v>1</v>
      </c>
      <c r="AB1050" s="18">
        <v>2</v>
      </c>
      <c r="AC1050" s="18">
        <v>4</v>
      </c>
      <c r="AD1050" s="18">
        <v>1</v>
      </c>
      <c r="AE1050" s="18" t="s">
        <v>162</v>
      </c>
      <c r="AN1050" s="3">
        <f t="shared" si="35"/>
        <v>8</v>
      </c>
      <c r="AO1050" s="3">
        <v>11</v>
      </c>
      <c r="AP1050" s="3">
        <v>3</v>
      </c>
      <c r="AR1050" s="2" t="s">
        <v>1272</v>
      </c>
    </row>
    <row r="1051" spans="1:44" ht="12.75" customHeight="1">
      <c r="A1051" s="4">
        <v>35198</v>
      </c>
      <c r="C1051" s="2" t="s">
        <v>236</v>
      </c>
      <c r="E1051" s="18">
        <v>3</v>
      </c>
      <c r="F1051" s="18">
        <v>1</v>
      </c>
      <c r="G1051" s="18">
        <v>0</v>
      </c>
      <c r="H1051" s="18">
        <v>0</v>
      </c>
      <c r="I1051" s="18">
        <v>1</v>
      </c>
      <c r="J1051" s="18">
        <v>0</v>
      </c>
      <c r="K1051" s="18">
        <v>1</v>
      </c>
      <c r="T1051" s="3">
        <f t="shared" si="36"/>
        <v>6</v>
      </c>
      <c r="U1051" s="3">
        <v>4</v>
      </c>
      <c r="V1051" s="3">
        <v>2</v>
      </c>
      <c r="X1051" s="2" t="s">
        <v>1893</v>
      </c>
      <c r="Y1051" s="18">
        <v>1</v>
      </c>
      <c r="Z1051" s="18">
        <v>1</v>
      </c>
      <c r="AA1051" s="18">
        <v>0</v>
      </c>
      <c r="AB1051" s="18">
        <v>5</v>
      </c>
      <c r="AC1051" s="18">
        <v>0</v>
      </c>
      <c r="AD1051" s="18">
        <v>0</v>
      </c>
      <c r="AE1051" s="18">
        <v>0</v>
      </c>
      <c r="AN1051" s="3">
        <f t="shared" si="35"/>
        <v>7</v>
      </c>
      <c r="AO1051" s="3">
        <v>12</v>
      </c>
      <c r="AP1051" s="3">
        <v>4</v>
      </c>
      <c r="AR1051" s="2" t="s">
        <v>1287</v>
      </c>
    </row>
    <row r="1052" spans="1:44" ht="12.75" customHeight="1">
      <c r="A1052" s="9">
        <f>DATE(1997,4,1)</f>
        <v>35521</v>
      </c>
      <c r="B1052" s="2" t="s">
        <v>152</v>
      </c>
      <c r="C1052" s="2" t="s">
        <v>236</v>
      </c>
      <c r="E1052" s="18">
        <v>1</v>
      </c>
      <c r="F1052" s="18">
        <v>0</v>
      </c>
      <c r="G1052" s="18">
        <v>0</v>
      </c>
      <c r="H1052" s="18">
        <v>1</v>
      </c>
      <c r="I1052" s="18">
        <v>0</v>
      </c>
      <c r="J1052" s="18">
        <v>0</v>
      </c>
      <c r="K1052" s="18">
        <v>0</v>
      </c>
      <c r="T1052" s="3">
        <f t="shared" si="36"/>
        <v>2</v>
      </c>
      <c r="U1052" s="3">
        <v>5</v>
      </c>
      <c r="V1052" s="3">
        <v>1</v>
      </c>
      <c r="X1052" s="2" t="s">
        <v>429</v>
      </c>
      <c r="Y1052" s="18">
        <v>3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  <c r="AE1052" s="18" t="s">
        <v>162</v>
      </c>
      <c r="AN1052" s="3">
        <f t="shared" si="35"/>
        <v>3</v>
      </c>
      <c r="AO1052" s="3">
        <v>4</v>
      </c>
      <c r="AP1052" s="3">
        <v>1</v>
      </c>
      <c r="AR1052" s="2" t="s">
        <v>430</v>
      </c>
    </row>
    <row r="1053" spans="1:44" ht="12.75" customHeight="1">
      <c r="A1053" s="4">
        <f>DATE(1997,5,13)</f>
        <v>35563</v>
      </c>
      <c r="C1053" s="2" t="s">
        <v>236</v>
      </c>
      <c r="E1053" s="18">
        <v>0</v>
      </c>
      <c r="F1053" s="18">
        <v>0</v>
      </c>
      <c r="G1053" s="18">
        <v>2</v>
      </c>
      <c r="H1053" s="18">
        <v>0</v>
      </c>
      <c r="I1053" s="18">
        <v>0</v>
      </c>
      <c r="J1053" s="18">
        <v>2</v>
      </c>
      <c r="K1053" s="18" t="s">
        <v>162</v>
      </c>
      <c r="T1053" s="3">
        <f t="shared" si="36"/>
        <v>4</v>
      </c>
      <c r="U1053" s="3">
        <v>9</v>
      </c>
      <c r="V1053" s="3">
        <v>1</v>
      </c>
      <c r="X1053" s="2" t="s">
        <v>434</v>
      </c>
      <c r="Y1053" s="18">
        <v>0</v>
      </c>
      <c r="Z1053" s="18">
        <v>0</v>
      </c>
      <c r="AA1053" s="18">
        <v>0</v>
      </c>
      <c r="AB1053" s="18">
        <v>1</v>
      </c>
      <c r="AC1053" s="18">
        <v>0</v>
      </c>
      <c r="AD1053" s="18">
        <v>2</v>
      </c>
      <c r="AE1053" s="18">
        <v>0</v>
      </c>
      <c r="AN1053" s="3">
        <f t="shared" si="35"/>
        <v>3</v>
      </c>
      <c r="AO1053" s="3">
        <v>8</v>
      </c>
      <c r="AP1053" s="3">
        <v>2</v>
      </c>
      <c r="AR1053" s="2" t="s">
        <v>456</v>
      </c>
    </row>
    <row r="1054" spans="1:44" ht="12.75" customHeight="1">
      <c r="A1054" s="4">
        <v>35898</v>
      </c>
      <c r="B1054" s="2" t="s">
        <v>152</v>
      </c>
      <c r="C1054" s="2" t="s">
        <v>236</v>
      </c>
      <c r="E1054" s="18">
        <v>2</v>
      </c>
      <c r="F1054" s="18">
        <v>0</v>
      </c>
      <c r="G1054" s="18">
        <v>0</v>
      </c>
      <c r="H1054" s="18">
        <v>2</v>
      </c>
      <c r="I1054" s="18">
        <v>4</v>
      </c>
      <c r="J1054" s="18">
        <v>1</v>
      </c>
      <c r="K1054" s="18">
        <v>0</v>
      </c>
      <c r="T1054" s="3">
        <f t="shared" si="36"/>
        <v>9</v>
      </c>
      <c r="U1054" s="3">
        <v>12</v>
      </c>
      <c r="V1054" s="3">
        <v>1</v>
      </c>
      <c r="X1054" s="2" t="s">
        <v>504</v>
      </c>
      <c r="Y1054" s="18">
        <v>1</v>
      </c>
      <c r="Z1054" s="18">
        <v>3</v>
      </c>
      <c r="AA1054" s="18">
        <v>4</v>
      </c>
      <c r="AB1054" s="18">
        <v>1</v>
      </c>
      <c r="AC1054" s="18">
        <v>3</v>
      </c>
      <c r="AD1054" s="18">
        <v>1</v>
      </c>
      <c r="AE1054" s="18" t="s">
        <v>162</v>
      </c>
      <c r="AN1054" s="3">
        <f t="shared" si="35"/>
        <v>13</v>
      </c>
      <c r="AO1054" s="3">
        <v>15</v>
      </c>
      <c r="AP1054" s="3">
        <v>5</v>
      </c>
      <c r="AR1054" s="2" t="s">
        <v>505</v>
      </c>
    </row>
    <row r="1055" spans="1:44" ht="12.75" customHeight="1">
      <c r="A1055" s="4">
        <v>35913</v>
      </c>
      <c r="C1055" s="2" t="s">
        <v>236</v>
      </c>
      <c r="E1055" s="18">
        <v>1</v>
      </c>
      <c r="F1055" s="18">
        <v>0</v>
      </c>
      <c r="G1055" s="18">
        <v>0</v>
      </c>
      <c r="H1055" s="18">
        <v>1</v>
      </c>
      <c r="I1055" s="18">
        <v>0</v>
      </c>
      <c r="J1055" s="18">
        <v>0</v>
      </c>
      <c r="T1055" s="3">
        <f t="shared" si="36"/>
        <v>2</v>
      </c>
      <c r="U1055" s="3">
        <v>5</v>
      </c>
      <c r="V1055" s="3">
        <v>3</v>
      </c>
      <c r="X1055" s="2" t="s">
        <v>500</v>
      </c>
      <c r="Y1055" s="18">
        <v>2</v>
      </c>
      <c r="Z1055" s="18">
        <v>3</v>
      </c>
      <c r="AA1055" s="18">
        <v>0</v>
      </c>
      <c r="AB1055" s="18">
        <v>0</v>
      </c>
      <c r="AC1055" s="18">
        <v>5</v>
      </c>
      <c r="AD1055" s="18">
        <v>5</v>
      </c>
      <c r="AN1055" s="3">
        <f t="shared" si="35"/>
        <v>15</v>
      </c>
      <c r="AO1055" s="3">
        <v>14</v>
      </c>
      <c r="AP1055" s="3">
        <v>2</v>
      </c>
      <c r="AR1055" s="2" t="s">
        <v>2008</v>
      </c>
    </row>
    <row r="1056" spans="1:44" ht="12.75" customHeight="1">
      <c r="A1056" s="5">
        <v>36293</v>
      </c>
      <c r="C1056" s="2" t="s">
        <v>236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T1056" s="3">
        <f t="shared" si="36"/>
        <v>0</v>
      </c>
      <c r="U1056" s="3">
        <v>4</v>
      </c>
      <c r="V1056" s="3">
        <v>1</v>
      </c>
      <c r="X1056" s="2" t="s">
        <v>632</v>
      </c>
      <c r="Y1056" s="18">
        <v>2</v>
      </c>
      <c r="Z1056" s="18">
        <v>0</v>
      </c>
      <c r="AA1056" s="18">
        <v>2</v>
      </c>
      <c r="AB1056" s="18">
        <v>4</v>
      </c>
      <c r="AC1056" s="18">
        <v>0</v>
      </c>
      <c r="AD1056" s="18">
        <v>0</v>
      </c>
      <c r="AE1056" s="18">
        <v>0</v>
      </c>
      <c r="AN1056" s="3">
        <f t="shared" si="35"/>
        <v>8</v>
      </c>
      <c r="AO1056" s="3">
        <v>7</v>
      </c>
      <c r="AP1056" s="3">
        <v>0</v>
      </c>
      <c r="AR1056" s="2" t="s">
        <v>628</v>
      </c>
    </row>
    <row r="1057" spans="1:44" ht="12.75" customHeight="1">
      <c r="A1057" s="4">
        <v>36657</v>
      </c>
      <c r="B1057" s="2" t="s">
        <v>152</v>
      </c>
      <c r="C1057" s="2" t="s">
        <v>236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T1057" s="3">
        <f t="shared" si="36"/>
        <v>0</v>
      </c>
      <c r="U1057" s="3">
        <v>5</v>
      </c>
      <c r="V1057" s="3">
        <v>0</v>
      </c>
      <c r="X1057" s="2" t="s">
        <v>89</v>
      </c>
      <c r="Y1057" s="18"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  <c r="AE1057" s="18">
        <v>0</v>
      </c>
      <c r="AF1057" s="18">
        <v>1</v>
      </c>
      <c r="AN1057" s="3">
        <f t="shared" si="35"/>
        <v>1</v>
      </c>
      <c r="AO1057" s="3">
        <v>5</v>
      </c>
      <c r="AP1057" s="3">
        <v>3</v>
      </c>
      <c r="AR1057" s="2" t="s">
        <v>90</v>
      </c>
    </row>
    <row r="1058" spans="1:44" ht="12.75" customHeight="1">
      <c r="A1058" s="5">
        <v>37019</v>
      </c>
      <c r="C1058" s="2" t="s">
        <v>236</v>
      </c>
      <c r="E1058" s="18">
        <v>0</v>
      </c>
      <c r="F1058" s="18">
        <v>0</v>
      </c>
      <c r="G1058" s="18">
        <v>0</v>
      </c>
      <c r="H1058" s="18">
        <v>0</v>
      </c>
      <c r="I1058" s="18">
        <v>1</v>
      </c>
      <c r="J1058" s="18">
        <v>1</v>
      </c>
      <c r="K1058" s="18">
        <v>0</v>
      </c>
      <c r="T1058" s="3">
        <f t="shared" si="36"/>
        <v>2</v>
      </c>
      <c r="U1058" s="3">
        <v>4</v>
      </c>
      <c r="V1058" s="3">
        <v>1</v>
      </c>
      <c r="X1058" s="2" t="s">
        <v>87</v>
      </c>
      <c r="Y1058" s="18">
        <v>0</v>
      </c>
      <c r="Z1058" s="18">
        <v>0</v>
      </c>
      <c r="AA1058" s="18">
        <v>3</v>
      </c>
      <c r="AB1058" s="18">
        <v>0</v>
      </c>
      <c r="AC1058" s="18">
        <v>1</v>
      </c>
      <c r="AD1058" s="18">
        <v>2</v>
      </c>
      <c r="AE1058" s="18">
        <v>0</v>
      </c>
      <c r="AN1058" s="3">
        <f t="shared" si="35"/>
        <v>6</v>
      </c>
      <c r="AO1058" s="3">
        <v>8</v>
      </c>
      <c r="AP1058" s="3">
        <v>2</v>
      </c>
      <c r="AR1058" s="2" t="s">
        <v>116</v>
      </c>
    </row>
    <row r="1059" spans="1:44" ht="12.75" customHeight="1">
      <c r="A1059" s="8">
        <v>37386</v>
      </c>
      <c r="B1059" s="2" t="s">
        <v>152</v>
      </c>
      <c r="C1059" s="2" t="s">
        <v>236</v>
      </c>
      <c r="E1059" s="18">
        <v>2</v>
      </c>
      <c r="F1059" s="18">
        <v>5</v>
      </c>
      <c r="G1059" s="18">
        <v>2</v>
      </c>
      <c r="H1059" s="18">
        <v>4</v>
      </c>
      <c r="I1059" s="18">
        <v>0</v>
      </c>
      <c r="J1059" s="18">
        <v>0</v>
      </c>
      <c r="K1059" s="18">
        <v>0</v>
      </c>
      <c r="T1059" s="3">
        <f t="shared" si="36"/>
        <v>13</v>
      </c>
      <c r="U1059" s="3">
        <v>17</v>
      </c>
      <c r="V1059" s="3">
        <v>0</v>
      </c>
      <c r="X1059" s="2" t="s">
        <v>1111</v>
      </c>
      <c r="Y1059" s="18">
        <v>4</v>
      </c>
      <c r="Z1059" s="18">
        <v>1</v>
      </c>
      <c r="AA1059" s="18">
        <v>2</v>
      </c>
      <c r="AB1059" s="18">
        <v>1</v>
      </c>
      <c r="AC1059" s="18">
        <v>5</v>
      </c>
      <c r="AD1059" s="18">
        <v>0</v>
      </c>
      <c r="AE1059" s="18">
        <v>1</v>
      </c>
      <c r="AN1059" s="3">
        <f t="shared" si="35"/>
        <v>14</v>
      </c>
      <c r="AO1059" s="3">
        <v>13</v>
      </c>
      <c r="AP1059" s="3">
        <v>3</v>
      </c>
      <c r="AR1059" s="2" t="s">
        <v>1119</v>
      </c>
    </row>
    <row r="1060" spans="1:44" ht="12.75" customHeight="1">
      <c r="A1060" s="5">
        <v>38117</v>
      </c>
      <c r="B1060" s="2" t="s">
        <v>152</v>
      </c>
      <c r="C1060" s="2" t="s">
        <v>236</v>
      </c>
      <c r="E1060" s="18">
        <v>0</v>
      </c>
      <c r="F1060" s="18">
        <v>1</v>
      </c>
      <c r="G1060" s="18">
        <v>1</v>
      </c>
      <c r="H1060" s="18">
        <v>3</v>
      </c>
      <c r="I1060" s="18">
        <v>1</v>
      </c>
      <c r="J1060" s="18">
        <v>2</v>
      </c>
      <c r="K1060" s="18">
        <v>2</v>
      </c>
      <c r="T1060" s="3">
        <f t="shared" si="36"/>
        <v>10</v>
      </c>
      <c r="U1060" s="3">
        <v>15</v>
      </c>
      <c r="V1060" s="3">
        <v>2</v>
      </c>
      <c r="X1060" s="2" t="s">
        <v>570</v>
      </c>
      <c r="Y1060" s="18">
        <v>0</v>
      </c>
      <c r="Z1060" s="18">
        <v>1</v>
      </c>
      <c r="AA1060" s="18">
        <v>0</v>
      </c>
      <c r="AB1060" s="18">
        <v>0</v>
      </c>
      <c r="AC1060" s="18">
        <v>0</v>
      </c>
      <c r="AD1060" s="18">
        <v>0</v>
      </c>
      <c r="AE1060" s="18">
        <v>0</v>
      </c>
      <c r="AN1060" s="3">
        <f t="shared" si="35"/>
        <v>1</v>
      </c>
      <c r="AO1060" s="3">
        <v>4</v>
      </c>
      <c r="AP1060" s="3">
        <v>2</v>
      </c>
      <c r="AR1060" s="2" t="s">
        <v>600</v>
      </c>
    </row>
    <row r="1061" spans="1:44" ht="12.75" customHeight="1">
      <c r="A1061" s="8">
        <f>DATE(2005,4,7)</f>
        <v>38449</v>
      </c>
      <c r="C1061" s="2" t="s">
        <v>236</v>
      </c>
      <c r="E1061" s="18">
        <v>1</v>
      </c>
      <c r="F1061" s="18">
        <v>0</v>
      </c>
      <c r="G1061" s="18">
        <v>0</v>
      </c>
      <c r="H1061" s="18">
        <v>0</v>
      </c>
      <c r="I1061" s="18">
        <v>2</v>
      </c>
      <c r="J1061" s="18">
        <v>0</v>
      </c>
      <c r="K1061" s="18">
        <v>1</v>
      </c>
      <c r="T1061" s="3">
        <f t="shared" si="36"/>
        <v>4</v>
      </c>
      <c r="U1061" s="3">
        <v>9</v>
      </c>
      <c r="V1061" s="3">
        <v>2</v>
      </c>
      <c r="X1061" s="2" t="s">
        <v>536</v>
      </c>
      <c r="Y1061" s="18">
        <v>0</v>
      </c>
      <c r="Z1061" s="18">
        <v>0</v>
      </c>
      <c r="AA1061" s="18">
        <v>0</v>
      </c>
      <c r="AB1061" s="18">
        <v>5</v>
      </c>
      <c r="AC1061" s="18">
        <v>1</v>
      </c>
      <c r="AD1061" s="18">
        <v>3</v>
      </c>
      <c r="AE1061" s="18">
        <v>0</v>
      </c>
      <c r="AN1061" s="3">
        <f t="shared" si="35"/>
        <v>9</v>
      </c>
      <c r="AO1061" s="3">
        <v>10</v>
      </c>
      <c r="AP1061" s="3">
        <v>0</v>
      </c>
      <c r="AR1061" s="2" t="s">
        <v>537</v>
      </c>
    </row>
    <row r="1062" spans="1:44" ht="12.75" customHeight="1">
      <c r="A1062" s="5">
        <v>38845</v>
      </c>
      <c r="B1062" s="2" t="s">
        <v>152</v>
      </c>
      <c r="C1062" s="2" t="s">
        <v>236</v>
      </c>
      <c r="E1062" s="18">
        <v>2</v>
      </c>
      <c r="F1062" s="18">
        <v>0</v>
      </c>
      <c r="G1062" s="18">
        <v>0</v>
      </c>
      <c r="H1062" s="18">
        <v>0</v>
      </c>
      <c r="I1062" s="18">
        <v>0</v>
      </c>
      <c r="J1062" s="18">
        <v>1</v>
      </c>
      <c r="K1062" s="18">
        <v>0</v>
      </c>
      <c r="T1062" s="3">
        <f t="shared" si="36"/>
        <v>3</v>
      </c>
      <c r="U1062" s="3">
        <v>7</v>
      </c>
      <c r="V1062" s="3">
        <v>3</v>
      </c>
      <c r="X1062" s="2" t="s">
        <v>1684</v>
      </c>
      <c r="Y1062" s="18">
        <v>0</v>
      </c>
      <c r="Z1062" s="18">
        <v>3</v>
      </c>
      <c r="AA1062" s="18">
        <v>0</v>
      </c>
      <c r="AB1062" s="18">
        <v>0</v>
      </c>
      <c r="AC1062" s="18">
        <v>3</v>
      </c>
      <c r="AD1062" s="18">
        <v>1</v>
      </c>
      <c r="AE1062" s="18" t="s">
        <v>162</v>
      </c>
      <c r="AN1062" s="3">
        <f t="shared" si="35"/>
        <v>7</v>
      </c>
      <c r="AO1062" s="3">
        <v>11</v>
      </c>
      <c r="AP1062" s="3">
        <v>5</v>
      </c>
      <c r="AR1062" s="2" t="s">
        <v>1675</v>
      </c>
    </row>
    <row r="1063" spans="1:44" ht="12.75" customHeight="1">
      <c r="A1063" s="5">
        <v>39206</v>
      </c>
      <c r="C1063" s="2" t="s">
        <v>236</v>
      </c>
      <c r="E1063" s="18">
        <v>0</v>
      </c>
      <c r="F1063" s="18">
        <v>0</v>
      </c>
      <c r="G1063" s="18">
        <v>0</v>
      </c>
      <c r="H1063" s="18">
        <v>0</v>
      </c>
      <c r="I1063" s="18">
        <v>0</v>
      </c>
      <c r="T1063" s="3">
        <f t="shared" si="36"/>
        <v>0</v>
      </c>
      <c r="U1063" s="3">
        <v>6</v>
      </c>
      <c r="V1063" s="3">
        <v>3</v>
      </c>
      <c r="X1063" s="2" t="s">
        <v>473</v>
      </c>
      <c r="Y1063" s="18">
        <v>0</v>
      </c>
      <c r="Z1063" s="18">
        <v>5</v>
      </c>
      <c r="AA1063" s="18">
        <v>0</v>
      </c>
      <c r="AB1063" s="18">
        <v>4</v>
      </c>
      <c r="AC1063" s="18">
        <v>5</v>
      </c>
      <c r="AN1063" s="3">
        <f t="shared" si="35"/>
        <v>14</v>
      </c>
      <c r="AO1063" s="3">
        <v>14</v>
      </c>
      <c r="AP1063" s="3">
        <v>0</v>
      </c>
      <c r="AR1063" s="2" t="s">
        <v>486</v>
      </c>
    </row>
    <row r="1064" spans="1:44" ht="12.75" customHeight="1">
      <c r="A1064" s="5">
        <v>39546</v>
      </c>
      <c r="B1064" s="2" t="s">
        <v>152</v>
      </c>
      <c r="C1064" s="2" t="s">
        <v>236</v>
      </c>
      <c r="E1064" s="18">
        <v>0</v>
      </c>
      <c r="F1064" s="18">
        <v>0</v>
      </c>
      <c r="G1064" s="18">
        <v>1</v>
      </c>
      <c r="H1064" s="18">
        <v>2</v>
      </c>
      <c r="I1064" s="18">
        <v>1</v>
      </c>
      <c r="J1064" s="18">
        <v>2</v>
      </c>
      <c r="K1064" s="18">
        <v>0</v>
      </c>
      <c r="T1064" s="3">
        <f t="shared" si="36"/>
        <v>6</v>
      </c>
      <c r="U1064" s="3">
        <v>13</v>
      </c>
      <c r="V1064" s="3">
        <v>7</v>
      </c>
      <c r="X1064" s="2" t="s">
        <v>684</v>
      </c>
      <c r="Y1064" s="18">
        <v>3</v>
      </c>
      <c r="Z1064" s="18">
        <v>2</v>
      </c>
      <c r="AA1064" s="18">
        <v>3</v>
      </c>
      <c r="AB1064" s="18">
        <v>3</v>
      </c>
      <c r="AC1064" s="18">
        <v>0</v>
      </c>
      <c r="AD1064" s="18">
        <v>0</v>
      </c>
      <c r="AE1064" s="18" t="s">
        <v>162</v>
      </c>
      <c r="AN1064" s="3">
        <f t="shared" si="35"/>
        <v>11</v>
      </c>
      <c r="AO1064" s="3">
        <v>9</v>
      </c>
      <c r="AP1064" s="3">
        <v>2</v>
      </c>
      <c r="AR1064" s="2" t="s">
        <v>685</v>
      </c>
    </row>
    <row r="1065" spans="1:44" ht="12.75" customHeight="1">
      <c r="A1065" s="5">
        <v>40667</v>
      </c>
      <c r="B1065" s="2" t="s">
        <v>152</v>
      </c>
      <c r="C1065" s="2" t="s">
        <v>236</v>
      </c>
      <c r="E1065" s="18">
        <v>0</v>
      </c>
      <c r="F1065" s="18">
        <v>0</v>
      </c>
      <c r="G1065" s="18">
        <v>0</v>
      </c>
      <c r="H1065" s="18">
        <v>0</v>
      </c>
      <c r="I1065" s="18">
        <v>0</v>
      </c>
      <c r="J1065" s="18">
        <v>1</v>
      </c>
      <c r="K1065" s="18">
        <v>0</v>
      </c>
      <c r="T1065" s="3">
        <f t="shared" si="36"/>
        <v>1</v>
      </c>
      <c r="U1065" s="3">
        <v>5</v>
      </c>
      <c r="V1065" s="3">
        <v>2</v>
      </c>
      <c r="X1065" s="2" t="s">
        <v>1967</v>
      </c>
      <c r="Y1065" s="18">
        <v>1</v>
      </c>
      <c r="Z1065" s="18">
        <v>1</v>
      </c>
      <c r="AA1065" s="18">
        <v>1</v>
      </c>
      <c r="AB1065" s="18">
        <v>0</v>
      </c>
      <c r="AC1065" s="18">
        <v>1</v>
      </c>
      <c r="AD1065" s="18">
        <v>2</v>
      </c>
      <c r="AE1065" s="18" t="s">
        <v>162</v>
      </c>
      <c r="AN1065" s="3">
        <f t="shared" si="35"/>
        <v>6</v>
      </c>
      <c r="AO1065" s="3">
        <v>11</v>
      </c>
      <c r="AP1065" s="3">
        <v>1</v>
      </c>
      <c r="AR1065" s="2" t="s">
        <v>1976</v>
      </c>
    </row>
    <row r="1066" spans="1:44" ht="12.75" customHeight="1">
      <c r="A1066" s="5">
        <v>40670</v>
      </c>
      <c r="C1066" s="2" t="s">
        <v>236</v>
      </c>
      <c r="E1066" s="18">
        <v>1</v>
      </c>
      <c r="F1066" s="18">
        <v>0</v>
      </c>
      <c r="G1066" s="18">
        <v>2</v>
      </c>
      <c r="H1066" s="18">
        <v>2</v>
      </c>
      <c r="I1066" s="18">
        <v>0</v>
      </c>
      <c r="J1066" s="18">
        <v>1</v>
      </c>
      <c r="K1066" s="18">
        <v>3</v>
      </c>
      <c r="T1066" s="3">
        <f t="shared" si="36"/>
        <v>9</v>
      </c>
      <c r="U1066" s="3">
        <v>9</v>
      </c>
      <c r="V1066" s="3">
        <v>3</v>
      </c>
      <c r="X1066" s="2" t="s">
        <v>1979</v>
      </c>
      <c r="Y1066" s="18">
        <v>11</v>
      </c>
      <c r="Z1066" s="18">
        <v>1</v>
      </c>
      <c r="AA1066" s="18">
        <v>0</v>
      </c>
      <c r="AB1066" s="18">
        <v>0</v>
      </c>
      <c r="AC1066" s="18">
        <v>0</v>
      </c>
      <c r="AD1066" s="18">
        <v>0</v>
      </c>
      <c r="AE1066" s="18">
        <v>8</v>
      </c>
      <c r="AN1066" s="3">
        <f t="shared" si="35"/>
        <v>20</v>
      </c>
      <c r="AO1066" s="3">
        <v>16</v>
      </c>
      <c r="AP1066" s="3">
        <v>4</v>
      </c>
      <c r="AR1066" s="2" t="s">
        <v>1980</v>
      </c>
    </row>
    <row r="1067" spans="1:44" ht="12.75" customHeight="1">
      <c r="A1067" s="5">
        <v>41012</v>
      </c>
      <c r="B1067" s="2" t="s">
        <v>152</v>
      </c>
      <c r="C1067" s="2" t="s">
        <v>236</v>
      </c>
      <c r="E1067" s="18">
        <v>0</v>
      </c>
      <c r="F1067" s="18">
        <v>0</v>
      </c>
      <c r="G1067" s="18">
        <v>0</v>
      </c>
      <c r="H1067" s="18">
        <v>0</v>
      </c>
      <c r="I1067" s="18">
        <v>8</v>
      </c>
      <c r="J1067" s="18">
        <v>0</v>
      </c>
      <c r="K1067" s="18">
        <v>0</v>
      </c>
      <c r="T1067" s="3">
        <f t="shared" si="36"/>
        <v>8</v>
      </c>
      <c r="U1067" s="3">
        <v>7</v>
      </c>
      <c r="V1067" s="3">
        <v>5</v>
      </c>
      <c r="X1067" s="2" t="s">
        <v>2043</v>
      </c>
      <c r="Y1067" s="18">
        <v>4</v>
      </c>
      <c r="Z1067" s="18">
        <v>5</v>
      </c>
      <c r="AA1067" s="18">
        <v>0</v>
      </c>
      <c r="AB1067" s="18">
        <v>2</v>
      </c>
      <c r="AC1067" s="18">
        <v>0</v>
      </c>
      <c r="AD1067" s="18">
        <v>1</v>
      </c>
      <c r="AE1067" s="18" t="s">
        <v>162</v>
      </c>
      <c r="AN1067" s="3">
        <f t="shared" si="35"/>
        <v>12</v>
      </c>
      <c r="AO1067" s="3">
        <v>13</v>
      </c>
      <c r="AP1067" s="3">
        <v>1</v>
      </c>
      <c r="AR1067" s="2" t="s">
        <v>2044</v>
      </c>
    </row>
    <row r="1068" spans="1:44" ht="12.75" customHeight="1">
      <c r="A1068" s="5">
        <v>41040</v>
      </c>
      <c r="C1068" s="2" t="s">
        <v>236</v>
      </c>
      <c r="E1068" s="18">
        <v>0</v>
      </c>
      <c r="F1068" s="18">
        <v>0</v>
      </c>
      <c r="G1068" s="18">
        <v>0</v>
      </c>
      <c r="H1068" s="18">
        <v>0</v>
      </c>
      <c r="I1068" s="18">
        <v>0</v>
      </c>
      <c r="T1068" s="3">
        <f t="shared" si="36"/>
        <v>0</v>
      </c>
      <c r="U1068" s="3">
        <v>2</v>
      </c>
      <c r="V1068" s="3">
        <v>4</v>
      </c>
      <c r="X1068" s="2" t="s">
        <v>2026</v>
      </c>
      <c r="Y1068" s="18">
        <v>1</v>
      </c>
      <c r="Z1068" s="18">
        <v>2</v>
      </c>
      <c r="AA1068" s="18">
        <v>0</v>
      </c>
      <c r="AB1068" s="18">
        <v>3</v>
      </c>
      <c r="AC1068" s="18">
        <v>4</v>
      </c>
      <c r="AN1068" s="3">
        <f t="shared" si="35"/>
        <v>10</v>
      </c>
      <c r="AO1068" s="3">
        <v>9</v>
      </c>
      <c r="AP1068" s="3">
        <v>0</v>
      </c>
      <c r="AR1068" s="2" t="s">
        <v>2027</v>
      </c>
    </row>
    <row r="1069" spans="1:44" ht="12.75" customHeight="1">
      <c r="A1069" s="5">
        <v>41380</v>
      </c>
      <c r="C1069" s="2" t="s">
        <v>236</v>
      </c>
      <c r="E1069" s="18">
        <v>2</v>
      </c>
      <c r="F1069" s="18">
        <v>3</v>
      </c>
      <c r="G1069" s="18">
        <v>0</v>
      </c>
      <c r="H1069" s="18">
        <v>1</v>
      </c>
      <c r="I1069" s="18">
        <v>0</v>
      </c>
      <c r="J1069" s="18">
        <v>0</v>
      </c>
      <c r="K1069" s="18">
        <v>2</v>
      </c>
      <c r="T1069" s="3">
        <f t="shared" si="36"/>
        <v>8</v>
      </c>
      <c r="U1069" s="3">
        <v>7</v>
      </c>
      <c r="V1069" s="3">
        <v>3</v>
      </c>
      <c r="X1069" s="2" t="s">
        <v>2102</v>
      </c>
      <c r="Y1069" s="18">
        <v>2</v>
      </c>
      <c r="Z1069" s="18">
        <v>0</v>
      </c>
      <c r="AA1069" s="18">
        <v>4</v>
      </c>
      <c r="AB1069" s="18">
        <v>2</v>
      </c>
      <c r="AC1069" s="18">
        <v>5</v>
      </c>
      <c r="AD1069" s="18">
        <v>0</v>
      </c>
      <c r="AE1069" s="18">
        <v>2</v>
      </c>
      <c r="AN1069" s="3">
        <f t="shared" si="35"/>
        <v>15</v>
      </c>
      <c r="AO1069" s="3">
        <v>16</v>
      </c>
      <c r="AP1069" s="3">
        <v>3</v>
      </c>
      <c r="AR1069" s="2" t="s">
        <v>2103</v>
      </c>
    </row>
    <row r="1070" spans="1:44" ht="12.75" customHeight="1">
      <c r="A1070" s="5">
        <v>41410</v>
      </c>
      <c r="B1070" s="2" t="s">
        <v>152</v>
      </c>
      <c r="C1070" s="2" t="s">
        <v>236</v>
      </c>
      <c r="E1070" s="18">
        <v>1</v>
      </c>
      <c r="F1070" s="18">
        <v>1</v>
      </c>
      <c r="G1070" s="18">
        <v>0</v>
      </c>
      <c r="H1070" s="18">
        <v>0</v>
      </c>
      <c r="I1070" s="18">
        <v>9</v>
      </c>
      <c r="J1070" s="18">
        <v>1</v>
      </c>
      <c r="K1070" s="18">
        <v>0</v>
      </c>
      <c r="T1070" s="3">
        <f t="shared" si="36"/>
        <v>12</v>
      </c>
      <c r="U1070" s="3">
        <v>9</v>
      </c>
      <c r="V1070" s="3">
        <v>5</v>
      </c>
      <c r="X1070" s="2" t="s">
        <v>2072</v>
      </c>
      <c r="Y1070" s="18">
        <v>2</v>
      </c>
      <c r="Z1070" s="18">
        <v>4</v>
      </c>
      <c r="AA1070" s="18">
        <v>0</v>
      </c>
      <c r="AB1070" s="18">
        <v>1</v>
      </c>
      <c r="AC1070" s="18">
        <v>0</v>
      </c>
      <c r="AD1070" s="18">
        <v>3</v>
      </c>
      <c r="AE1070" s="18">
        <v>0</v>
      </c>
      <c r="AN1070" s="3">
        <f t="shared" si="35"/>
        <v>10</v>
      </c>
      <c r="AO1070" s="3">
        <v>10</v>
      </c>
      <c r="AP1070" s="3">
        <v>5</v>
      </c>
      <c r="AR1070" s="2" t="s">
        <v>2085</v>
      </c>
    </row>
    <row r="1071" spans="1:44" ht="12.75" customHeight="1">
      <c r="A1071" s="5">
        <v>41768</v>
      </c>
      <c r="B1071" s="2" t="s">
        <v>152</v>
      </c>
      <c r="C1071" s="2" t="s">
        <v>236</v>
      </c>
      <c r="E1071" s="18">
        <v>2</v>
      </c>
      <c r="F1071" s="18">
        <v>1</v>
      </c>
      <c r="G1071" s="18">
        <v>0</v>
      </c>
      <c r="H1071" s="18">
        <v>0</v>
      </c>
      <c r="I1071" s="18">
        <v>0</v>
      </c>
      <c r="J1071" s="18">
        <v>1</v>
      </c>
      <c r="K1071" s="18">
        <v>0</v>
      </c>
      <c r="T1071" s="3">
        <f t="shared" si="36"/>
        <v>4</v>
      </c>
      <c r="U1071" s="3">
        <v>8</v>
      </c>
      <c r="V1071" s="3">
        <v>1</v>
      </c>
      <c r="X1071" s="2" t="s">
        <v>2060</v>
      </c>
      <c r="Y1071" s="18">
        <v>0</v>
      </c>
      <c r="Z1071" s="18">
        <v>0</v>
      </c>
      <c r="AA1071" s="18">
        <v>5</v>
      </c>
      <c r="AB1071" s="18">
        <v>0</v>
      </c>
      <c r="AC1071" s="18">
        <v>3</v>
      </c>
      <c r="AD1071" s="18">
        <v>1</v>
      </c>
      <c r="AE1071" s="18" t="s">
        <v>162</v>
      </c>
      <c r="AN1071" s="3">
        <f t="shared" si="35"/>
        <v>9</v>
      </c>
      <c r="AO1071" s="3">
        <v>10</v>
      </c>
      <c r="AP1071" s="3">
        <v>0</v>
      </c>
      <c r="AR1071" s="2" t="s">
        <v>2061</v>
      </c>
    </row>
    <row r="1072" spans="1:44" ht="12.75" customHeight="1">
      <c r="A1072" s="5">
        <v>41772</v>
      </c>
      <c r="C1072" s="2" t="s">
        <v>236</v>
      </c>
      <c r="E1072" s="18">
        <v>0</v>
      </c>
      <c r="F1072" s="18">
        <v>0</v>
      </c>
      <c r="G1072" s="18">
        <v>2</v>
      </c>
      <c r="H1072" s="18">
        <v>0</v>
      </c>
      <c r="I1072" s="18">
        <v>0</v>
      </c>
      <c r="J1072" s="18">
        <v>0</v>
      </c>
      <c r="K1072" s="18" t="s">
        <v>162</v>
      </c>
      <c r="T1072" s="3">
        <f t="shared" si="36"/>
        <v>2</v>
      </c>
      <c r="U1072" s="3">
        <v>4</v>
      </c>
      <c r="V1072" s="3">
        <v>2</v>
      </c>
      <c r="X1072" s="2" t="s">
        <v>2065</v>
      </c>
      <c r="Y1072" s="18">
        <v>0</v>
      </c>
      <c r="Z1072" s="18">
        <v>1</v>
      </c>
      <c r="AA1072" s="18">
        <v>0</v>
      </c>
      <c r="AB1072" s="18">
        <v>0</v>
      </c>
      <c r="AC1072" s="18">
        <v>0</v>
      </c>
      <c r="AD1072" s="18">
        <v>0</v>
      </c>
      <c r="AE1072" s="18">
        <v>0</v>
      </c>
      <c r="AN1072" s="3">
        <f t="shared" si="35"/>
        <v>1</v>
      </c>
      <c r="AO1072" s="3">
        <v>4</v>
      </c>
      <c r="AP1072" s="3">
        <v>2</v>
      </c>
      <c r="AR1072" s="2" t="s">
        <v>2209</v>
      </c>
    </row>
    <row r="1073" spans="1:44" ht="12.75" customHeight="1">
      <c r="A1073" s="5">
        <v>42108</v>
      </c>
      <c r="B1073" s="2" t="s">
        <v>152</v>
      </c>
      <c r="C1073" s="2" t="s">
        <v>236</v>
      </c>
      <c r="E1073" s="18">
        <v>0</v>
      </c>
      <c r="F1073" s="18">
        <v>1</v>
      </c>
      <c r="G1073" s="18">
        <v>3</v>
      </c>
      <c r="H1073" s="18">
        <v>0</v>
      </c>
      <c r="I1073" s="18">
        <v>0</v>
      </c>
      <c r="J1073" s="18">
        <v>0</v>
      </c>
      <c r="K1073" s="18">
        <v>2</v>
      </c>
      <c r="T1073" s="3">
        <f t="shared" si="36"/>
        <v>6</v>
      </c>
      <c r="U1073" s="3">
        <v>11</v>
      </c>
      <c r="V1073" s="3">
        <v>7</v>
      </c>
      <c r="X1073" s="2" t="s">
        <v>2065</v>
      </c>
      <c r="Y1073" s="18">
        <v>1</v>
      </c>
      <c r="Z1073" s="18">
        <v>3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N1073" s="3">
        <f t="shared" si="35"/>
        <v>4</v>
      </c>
      <c r="AO1073" s="3">
        <v>6</v>
      </c>
      <c r="AP1073" s="3">
        <v>2</v>
      </c>
      <c r="AR1073" s="2" t="s">
        <v>2121</v>
      </c>
    </row>
    <row r="1074" spans="1:44" ht="12.75" customHeight="1">
      <c r="A1074" s="5">
        <v>42131</v>
      </c>
      <c r="C1074" s="2" t="s">
        <v>236</v>
      </c>
      <c r="E1074" s="18">
        <v>3</v>
      </c>
      <c r="F1074" s="18">
        <v>0</v>
      </c>
      <c r="G1074" s="18">
        <v>2</v>
      </c>
      <c r="H1074" s="18">
        <v>0</v>
      </c>
      <c r="I1074" s="18">
        <v>7</v>
      </c>
      <c r="J1074" s="18">
        <v>1</v>
      </c>
      <c r="T1074" s="3">
        <f t="shared" si="36"/>
        <v>13</v>
      </c>
      <c r="U1074" s="3">
        <v>17</v>
      </c>
      <c r="V1074" s="3">
        <v>2</v>
      </c>
      <c r="X1074" s="2" t="s">
        <v>2067</v>
      </c>
      <c r="Y1074" s="18">
        <v>0</v>
      </c>
      <c r="Z1074" s="18">
        <v>1</v>
      </c>
      <c r="AA1074" s="18">
        <v>1</v>
      </c>
      <c r="AB1074" s="18">
        <v>0</v>
      </c>
      <c r="AC1074" s="18">
        <v>1</v>
      </c>
      <c r="AD1074" s="18">
        <v>0</v>
      </c>
      <c r="AN1074" s="3">
        <f t="shared" si="35"/>
        <v>3</v>
      </c>
      <c r="AO1074" s="3">
        <v>9</v>
      </c>
      <c r="AP1074" s="3">
        <v>2</v>
      </c>
      <c r="AR1074" s="2" t="s">
        <v>2136</v>
      </c>
    </row>
    <row r="1075" spans="1:44" ht="12.75" customHeight="1">
      <c r="A1075" s="5">
        <v>42478</v>
      </c>
      <c r="C1075" s="2" t="s">
        <v>236</v>
      </c>
      <c r="E1075" s="18">
        <v>0</v>
      </c>
      <c r="F1075" s="18">
        <v>0</v>
      </c>
      <c r="G1075" s="18">
        <v>0</v>
      </c>
      <c r="H1075" s="18">
        <v>2</v>
      </c>
      <c r="I1075" s="18">
        <v>0</v>
      </c>
      <c r="J1075" s="18">
        <v>2</v>
      </c>
      <c r="K1075" s="18" t="s">
        <v>162</v>
      </c>
      <c r="T1075" s="3">
        <f t="shared" si="36"/>
        <v>4</v>
      </c>
      <c r="U1075" s="3">
        <v>8</v>
      </c>
      <c r="V1075" s="3">
        <v>1</v>
      </c>
      <c r="X1075" s="2" t="s">
        <v>2065</v>
      </c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2</v>
      </c>
      <c r="AE1075" s="18">
        <v>0</v>
      </c>
      <c r="AN1075" s="3">
        <f t="shared" si="35"/>
        <v>2</v>
      </c>
      <c r="AO1075" s="3">
        <v>4</v>
      </c>
      <c r="AP1075" s="3">
        <v>2</v>
      </c>
      <c r="AR1075" s="2" t="s">
        <v>2153</v>
      </c>
    </row>
    <row r="1076" spans="1:44" ht="12.75" customHeight="1">
      <c r="A1076" s="5">
        <v>42503</v>
      </c>
      <c r="B1076" s="2" t="s">
        <v>152</v>
      </c>
      <c r="C1076" s="2" t="s">
        <v>236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T1076" s="3">
        <f t="shared" si="36"/>
        <v>0</v>
      </c>
      <c r="U1076" s="3">
        <v>7</v>
      </c>
      <c r="V1076" s="3">
        <v>1</v>
      </c>
      <c r="X1076" s="2" t="s">
        <v>2156</v>
      </c>
      <c r="Y1076" s="18">
        <v>0</v>
      </c>
      <c r="Z1076" s="18">
        <v>0</v>
      </c>
      <c r="AA1076" s="18">
        <v>2</v>
      </c>
      <c r="AB1076" s="18">
        <v>0</v>
      </c>
      <c r="AC1076" s="18">
        <v>0</v>
      </c>
      <c r="AD1076" s="18">
        <v>2</v>
      </c>
      <c r="AE1076" s="18" t="s">
        <v>162</v>
      </c>
      <c r="AN1076" s="3">
        <f t="shared" si="35"/>
        <v>4</v>
      </c>
      <c r="AO1076" s="3">
        <v>6</v>
      </c>
      <c r="AP1076" s="3">
        <v>1</v>
      </c>
      <c r="AR1076" s="2" t="s">
        <v>2157</v>
      </c>
    </row>
    <row r="1077" spans="1:44" ht="12.75" customHeight="1">
      <c r="A1077" s="5">
        <v>42843</v>
      </c>
      <c r="B1077" s="2" t="s">
        <v>152</v>
      </c>
      <c r="C1077" s="2" t="s">
        <v>236</v>
      </c>
      <c r="E1077" s="18">
        <v>2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4</v>
      </c>
      <c r="T1077" s="3">
        <f t="shared" si="36"/>
        <v>6</v>
      </c>
      <c r="U1077" s="3">
        <v>12</v>
      </c>
      <c r="V1077" s="3">
        <v>5</v>
      </c>
      <c r="X1077" s="2" t="s">
        <v>2146</v>
      </c>
      <c r="Y1077" s="18">
        <v>0</v>
      </c>
      <c r="Z1077" s="18">
        <v>5</v>
      </c>
      <c r="AA1077" s="18">
        <v>3</v>
      </c>
      <c r="AB1077" s="18">
        <v>1</v>
      </c>
      <c r="AC1077" s="18">
        <v>0</v>
      </c>
      <c r="AD1077" s="18">
        <v>0</v>
      </c>
      <c r="AE1077" s="18" t="s">
        <v>162</v>
      </c>
      <c r="AN1077" s="3">
        <f t="shared" si="35"/>
        <v>9</v>
      </c>
      <c r="AO1077" s="3">
        <v>10</v>
      </c>
      <c r="AP1077" s="3">
        <v>1</v>
      </c>
      <c r="AR1077" s="2" t="s">
        <v>2195</v>
      </c>
    </row>
    <row r="1078" spans="1:44" ht="12.75" customHeight="1">
      <c r="A1078" s="5">
        <v>42866</v>
      </c>
      <c r="C1078" s="2" t="s">
        <v>236</v>
      </c>
      <c r="E1078" s="18">
        <v>0</v>
      </c>
      <c r="F1078" s="18">
        <v>2</v>
      </c>
      <c r="G1078" s="18">
        <v>0</v>
      </c>
      <c r="H1078" s="18">
        <v>1</v>
      </c>
      <c r="I1078" s="18">
        <v>5</v>
      </c>
      <c r="J1078" s="18">
        <v>2</v>
      </c>
      <c r="K1078" s="18" t="s">
        <v>162</v>
      </c>
      <c r="T1078" s="3">
        <f t="shared" si="36"/>
        <v>10</v>
      </c>
      <c r="U1078" s="3">
        <v>11</v>
      </c>
      <c r="V1078" s="3">
        <v>2</v>
      </c>
      <c r="X1078" s="2" t="s">
        <v>2181</v>
      </c>
      <c r="Y1078" s="18">
        <v>1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  <c r="AE1078" s="18">
        <v>2</v>
      </c>
      <c r="AN1078" s="3">
        <f t="shared" si="35"/>
        <v>3</v>
      </c>
      <c r="AO1078" s="3">
        <v>4</v>
      </c>
      <c r="AP1078" s="3">
        <v>3</v>
      </c>
      <c r="AR1078" s="2" t="s">
        <v>2182</v>
      </c>
    </row>
    <row r="1079" spans="1:44" ht="12.75" customHeight="1">
      <c r="A1079" s="5">
        <v>43211</v>
      </c>
      <c r="C1079" s="2" t="s">
        <v>236</v>
      </c>
      <c r="E1079" s="18">
        <v>1</v>
      </c>
      <c r="F1079" s="18">
        <v>0</v>
      </c>
      <c r="G1079" s="18">
        <v>4</v>
      </c>
      <c r="H1079" s="18">
        <v>0</v>
      </c>
      <c r="I1079" s="18">
        <v>0</v>
      </c>
      <c r="J1079" s="18">
        <v>0</v>
      </c>
      <c r="K1079" s="18" t="s">
        <v>162</v>
      </c>
      <c r="T1079" s="3">
        <f t="shared" si="36"/>
        <v>5</v>
      </c>
      <c r="U1079" s="3">
        <v>10</v>
      </c>
      <c r="V1079" s="3">
        <v>0</v>
      </c>
      <c r="X1079" s="2" t="s">
        <v>2315</v>
      </c>
      <c r="Y1079" s="18">
        <v>0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  <c r="AE1079" s="18">
        <v>0</v>
      </c>
      <c r="AN1079" s="3">
        <f t="shared" si="35"/>
        <v>0</v>
      </c>
      <c r="AO1079" s="3">
        <v>4</v>
      </c>
      <c r="AP1079" s="3">
        <v>3</v>
      </c>
      <c r="AR1079" s="2" t="s">
        <v>2314</v>
      </c>
    </row>
    <row r="1080" spans="1:44" ht="12.75" customHeight="1">
      <c r="A1080" s="5">
        <v>43230</v>
      </c>
      <c r="C1080" s="2" t="s">
        <v>236</v>
      </c>
      <c r="E1080" s="18">
        <v>0</v>
      </c>
      <c r="F1080" s="18">
        <v>0</v>
      </c>
      <c r="G1080" s="18">
        <v>0</v>
      </c>
      <c r="H1080" s="18">
        <v>0</v>
      </c>
      <c r="I1080" s="18">
        <v>0</v>
      </c>
      <c r="J1080" s="18">
        <v>1</v>
      </c>
      <c r="K1080" s="18">
        <v>0</v>
      </c>
      <c r="T1080" s="3">
        <f t="shared" si="36"/>
        <v>1</v>
      </c>
      <c r="U1080" s="3">
        <v>5</v>
      </c>
      <c r="V1080" s="3">
        <v>3</v>
      </c>
      <c r="X1080" s="2" t="s">
        <v>2235</v>
      </c>
      <c r="Y1080" s="18">
        <v>0</v>
      </c>
      <c r="Z1080" s="18">
        <v>0</v>
      </c>
      <c r="AA1080" s="18">
        <v>0</v>
      </c>
      <c r="AB1080" s="18">
        <v>0</v>
      </c>
      <c r="AC1080" s="18">
        <v>4</v>
      </c>
      <c r="AD1080" s="18">
        <v>3</v>
      </c>
      <c r="AE1080" s="18" t="s">
        <v>162</v>
      </c>
      <c r="AN1080" s="3">
        <f t="shared" si="35"/>
        <v>7</v>
      </c>
      <c r="AO1080" s="3">
        <v>8</v>
      </c>
      <c r="AP1080" s="3">
        <v>3</v>
      </c>
      <c r="AR1080" s="2" t="s">
        <v>2234</v>
      </c>
    </row>
    <row r="1081" spans="1:44" ht="12.75" customHeight="1">
      <c r="A1081" s="5">
        <v>43557</v>
      </c>
      <c r="C1081" s="2" t="s">
        <v>236</v>
      </c>
      <c r="E1081" s="18">
        <v>0</v>
      </c>
      <c r="F1081" s="18">
        <v>1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T1081" s="3">
        <f t="shared" si="36"/>
        <v>1</v>
      </c>
      <c r="U1081" s="2">
        <v>6</v>
      </c>
      <c r="V1081" s="3">
        <v>1</v>
      </c>
      <c r="X1081" s="2" t="s">
        <v>2272</v>
      </c>
      <c r="Y1081" s="18">
        <v>0</v>
      </c>
      <c r="Z1081" s="18">
        <v>0</v>
      </c>
      <c r="AA1081" s="18">
        <v>1</v>
      </c>
      <c r="AB1081" s="18">
        <v>0</v>
      </c>
      <c r="AC1081" s="18">
        <v>0</v>
      </c>
      <c r="AD1081" s="18">
        <v>0</v>
      </c>
      <c r="AE1081" s="18">
        <v>1</v>
      </c>
      <c r="AN1081" s="3">
        <f t="shared" si="35"/>
        <v>2</v>
      </c>
      <c r="AO1081" s="3">
        <v>6</v>
      </c>
      <c r="AP1081" s="3">
        <v>1</v>
      </c>
      <c r="AR1081" s="2" t="s">
        <v>2284</v>
      </c>
    </row>
    <row r="1082" spans="1:44" ht="12.75" customHeight="1">
      <c r="A1082" s="5">
        <v>43580</v>
      </c>
      <c r="B1082" s="2" t="s">
        <v>152</v>
      </c>
      <c r="C1082" s="2" t="s">
        <v>236</v>
      </c>
      <c r="E1082" s="18">
        <v>0</v>
      </c>
      <c r="F1082" s="18">
        <v>0</v>
      </c>
      <c r="G1082" s="18">
        <v>0</v>
      </c>
      <c r="H1082" s="18">
        <v>0</v>
      </c>
      <c r="I1082" s="18">
        <v>0</v>
      </c>
      <c r="J1082" s="18">
        <v>3</v>
      </c>
      <c r="K1082" s="18">
        <v>0</v>
      </c>
      <c r="T1082" s="3">
        <f t="shared" si="36"/>
        <v>3</v>
      </c>
      <c r="U1082" s="3">
        <v>7</v>
      </c>
      <c r="V1082" s="3">
        <v>1</v>
      </c>
      <c r="X1082" s="2" t="s">
        <v>2238</v>
      </c>
      <c r="Y1082" s="18">
        <v>0</v>
      </c>
      <c r="Z1082" s="18">
        <v>0</v>
      </c>
      <c r="AA1082" s="18">
        <v>1</v>
      </c>
      <c r="AB1082" s="18">
        <v>2</v>
      </c>
      <c r="AC1082" s="18">
        <v>1</v>
      </c>
      <c r="AD1082" s="18">
        <v>0</v>
      </c>
      <c r="AE1082" s="18" t="s">
        <v>162</v>
      </c>
      <c r="AN1082" s="3">
        <f t="shared" si="35"/>
        <v>4</v>
      </c>
      <c r="AO1082" s="3">
        <v>8</v>
      </c>
      <c r="AP1082" s="3">
        <v>1</v>
      </c>
      <c r="AR1082" s="2" t="s">
        <v>2277</v>
      </c>
    </row>
    <row r="1083" spans="1:44" ht="12.75" customHeight="1">
      <c r="A1083" s="5">
        <v>44294</v>
      </c>
      <c r="B1083" s="2" t="s">
        <v>152</v>
      </c>
      <c r="C1083" s="2" t="s">
        <v>236</v>
      </c>
      <c r="E1083" s="18">
        <v>0</v>
      </c>
      <c r="F1083" s="18">
        <v>1</v>
      </c>
      <c r="G1083" s="18">
        <v>0</v>
      </c>
      <c r="H1083" s="18">
        <v>0</v>
      </c>
      <c r="I1083" s="18">
        <v>0</v>
      </c>
      <c r="T1083" s="3">
        <f t="shared" si="36"/>
        <v>1</v>
      </c>
      <c r="U1083" s="3">
        <v>5</v>
      </c>
      <c r="V1083" s="3">
        <v>8</v>
      </c>
      <c r="X1083" s="2" t="s">
        <v>2293</v>
      </c>
      <c r="Y1083" s="18">
        <v>0</v>
      </c>
      <c r="Z1083" s="18">
        <v>2</v>
      </c>
      <c r="AA1083" s="18">
        <v>6</v>
      </c>
      <c r="AB1083" s="18">
        <v>2</v>
      </c>
      <c r="AC1083" s="18">
        <v>1</v>
      </c>
      <c r="AN1083" s="3">
        <f t="shared" si="35"/>
        <v>11</v>
      </c>
      <c r="AO1083" s="3">
        <v>15</v>
      </c>
      <c r="AP1083" s="3">
        <v>3</v>
      </c>
      <c r="AR1083" s="2" t="s">
        <v>2294</v>
      </c>
    </row>
    <row r="1084" spans="1:44" ht="12.75" customHeight="1">
      <c r="A1084" s="5">
        <v>44309</v>
      </c>
      <c r="C1084" s="2" t="s">
        <v>236</v>
      </c>
      <c r="E1084" s="18">
        <v>0</v>
      </c>
      <c r="F1084" s="18">
        <v>0</v>
      </c>
      <c r="G1084" s="18">
        <v>3</v>
      </c>
      <c r="H1084" s="18">
        <v>0</v>
      </c>
      <c r="I1084" s="18">
        <v>2</v>
      </c>
      <c r="J1084" s="18">
        <v>0</v>
      </c>
      <c r="K1084" s="18" t="s">
        <v>162</v>
      </c>
      <c r="T1084" s="3">
        <f t="shared" si="36"/>
        <v>5</v>
      </c>
      <c r="U1084" s="3">
        <v>8</v>
      </c>
      <c r="V1084" s="3">
        <v>0</v>
      </c>
      <c r="X1084" s="2" t="s">
        <v>2231</v>
      </c>
      <c r="Y1084" s="18">
        <v>2</v>
      </c>
      <c r="Z1084" s="18">
        <v>0</v>
      </c>
      <c r="AA1084" s="18">
        <v>0</v>
      </c>
      <c r="AB1084" s="18">
        <v>0</v>
      </c>
      <c r="AC1084" s="18">
        <v>1</v>
      </c>
      <c r="AD1084" s="18">
        <v>0</v>
      </c>
      <c r="AE1084" s="18">
        <v>0</v>
      </c>
      <c r="AN1084" s="3">
        <f t="shared" si="35"/>
        <v>3</v>
      </c>
      <c r="AO1084" s="3">
        <v>10</v>
      </c>
      <c r="AP1084" s="3">
        <v>1</v>
      </c>
      <c r="AR1084" s="2" t="s">
        <v>2288</v>
      </c>
    </row>
    <row r="1085" spans="1:44" ht="12.75">
      <c r="A1085" s="5">
        <v>44671</v>
      </c>
      <c r="C1085" s="2" t="s">
        <v>236</v>
      </c>
      <c r="E1085" s="18">
        <v>0</v>
      </c>
      <c r="F1085" s="18">
        <v>0</v>
      </c>
      <c r="G1085" s="18">
        <v>0</v>
      </c>
      <c r="H1085" s="18">
        <v>0</v>
      </c>
      <c r="I1085" s="18">
        <v>1</v>
      </c>
      <c r="J1085" s="18">
        <v>0</v>
      </c>
      <c r="K1085" s="18">
        <v>3</v>
      </c>
      <c r="T1085" s="3">
        <v>4</v>
      </c>
      <c r="U1085" s="3">
        <v>8</v>
      </c>
      <c r="V1085" s="3">
        <v>4</v>
      </c>
      <c r="X1085" s="2" t="s">
        <v>2263</v>
      </c>
      <c r="Y1085" s="18">
        <v>0</v>
      </c>
      <c r="Z1085" s="18">
        <v>0</v>
      </c>
      <c r="AA1085" s="18">
        <v>0</v>
      </c>
      <c r="AB1085" s="18">
        <v>4</v>
      </c>
      <c r="AC1085" s="18">
        <v>1</v>
      </c>
      <c r="AD1085" s="18">
        <v>0</v>
      </c>
      <c r="AE1085" s="18">
        <v>1</v>
      </c>
      <c r="AN1085" s="3">
        <v>6</v>
      </c>
      <c r="AO1085" s="3">
        <v>8</v>
      </c>
      <c r="AP1085" s="3">
        <v>1</v>
      </c>
      <c r="AR1085" s="2" t="s">
        <v>2344</v>
      </c>
    </row>
    <row r="1086" spans="1:44" ht="12.75">
      <c r="A1086" s="5">
        <v>44673</v>
      </c>
      <c r="B1086" s="2" t="s">
        <v>152</v>
      </c>
      <c r="C1086" s="2" t="s">
        <v>236</v>
      </c>
      <c r="E1086" s="18">
        <v>1</v>
      </c>
      <c r="F1086" s="18">
        <v>0</v>
      </c>
      <c r="G1086" s="18">
        <v>1</v>
      </c>
      <c r="H1086" s="18">
        <v>1</v>
      </c>
      <c r="I1086" s="18">
        <v>1</v>
      </c>
      <c r="J1086" s="18">
        <v>0</v>
      </c>
      <c r="K1086" s="18">
        <v>2</v>
      </c>
      <c r="T1086" s="3">
        <v>6</v>
      </c>
      <c r="U1086" s="3">
        <v>13</v>
      </c>
      <c r="V1086" s="3">
        <v>0</v>
      </c>
      <c r="X1086" s="2" t="s">
        <v>2346</v>
      </c>
      <c r="Y1086" s="18">
        <v>0</v>
      </c>
      <c r="Z1086" s="18">
        <v>1</v>
      </c>
      <c r="AA1086" s="18">
        <v>2</v>
      </c>
      <c r="AB1086" s="18">
        <v>2</v>
      </c>
      <c r="AC1086" s="18">
        <v>2</v>
      </c>
      <c r="AD1086" s="18">
        <v>0</v>
      </c>
      <c r="AE1086" s="18" t="s">
        <v>162</v>
      </c>
      <c r="AN1086" s="3">
        <v>7</v>
      </c>
      <c r="AO1086" s="3">
        <v>5</v>
      </c>
      <c r="AP1086" s="3">
        <v>3</v>
      </c>
      <c r="AR1086" s="2" t="s">
        <v>2345</v>
      </c>
    </row>
    <row r="1087" spans="1:44" ht="12.75" customHeight="1">
      <c r="A1087" s="4">
        <f>DATE(78,3,25)</f>
        <v>28574</v>
      </c>
      <c r="B1087" s="2" t="s">
        <v>152</v>
      </c>
      <c r="C1087" s="2" t="s">
        <v>1153</v>
      </c>
      <c r="E1087" s="18">
        <v>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T1087" s="3">
        <v>0</v>
      </c>
      <c r="U1087" s="3">
        <v>6</v>
      </c>
      <c r="V1087" s="3">
        <v>1</v>
      </c>
      <c r="X1087" s="2" t="s">
        <v>1154</v>
      </c>
      <c r="Y1087" s="18">
        <v>0</v>
      </c>
      <c r="Z1087" s="18">
        <v>0</v>
      </c>
      <c r="AA1087" s="18">
        <v>0</v>
      </c>
      <c r="AB1087" s="18">
        <v>3</v>
      </c>
      <c r="AC1087" s="18">
        <v>0</v>
      </c>
      <c r="AD1087" s="18">
        <v>1</v>
      </c>
      <c r="AE1087" s="18" t="s">
        <v>162</v>
      </c>
      <c r="AN1087" s="3">
        <v>4</v>
      </c>
      <c r="AO1087" s="3">
        <v>5</v>
      </c>
      <c r="AP1087" s="3">
        <v>2</v>
      </c>
      <c r="AR1087" s="2" t="s">
        <v>1155</v>
      </c>
    </row>
    <row r="1088" spans="1:44" ht="12.75" customHeight="1">
      <c r="A1088" s="4">
        <f>DATE(81,3,26)</f>
        <v>29671</v>
      </c>
      <c r="B1088" s="2" t="s">
        <v>152</v>
      </c>
      <c r="C1088" s="2" t="s">
        <v>1315</v>
      </c>
      <c r="E1088" s="18">
        <v>0</v>
      </c>
      <c r="F1088" s="18">
        <v>0</v>
      </c>
      <c r="G1088" s="18">
        <v>0</v>
      </c>
      <c r="H1088" s="18">
        <v>1</v>
      </c>
      <c r="I1088" s="18">
        <v>1</v>
      </c>
      <c r="J1088" s="18">
        <v>4</v>
      </c>
      <c r="K1088" s="18">
        <v>1</v>
      </c>
      <c r="T1088" s="3">
        <v>7</v>
      </c>
      <c r="U1088" s="3">
        <v>8</v>
      </c>
      <c r="V1088" s="3">
        <v>1</v>
      </c>
      <c r="X1088" s="2" t="s">
        <v>1218</v>
      </c>
      <c r="Y1088" s="18">
        <v>2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  <c r="AE1088" s="18">
        <v>0</v>
      </c>
      <c r="AN1088" s="3">
        <v>2</v>
      </c>
      <c r="AO1088" s="3">
        <v>4</v>
      </c>
      <c r="AP1088" s="3">
        <v>3</v>
      </c>
      <c r="AR1088" s="2" t="s">
        <v>293</v>
      </c>
    </row>
    <row r="1089" spans="1:44" ht="12.75" customHeight="1">
      <c r="A1089" s="4">
        <f>DATE(81,3,28)</f>
        <v>29673</v>
      </c>
      <c r="B1089" s="2" t="s">
        <v>152</v>
      </c>
      <c r="C1089" s="2" t="s">
        <v>1315</v>
      </c>
      <c r="E1089" s="18">
        <v>1</v>
      </c>
      <c r="F1089" s="18">
        <v>2</v>
      </c>
      <c r="G1089" s="18">
        <v>0</v>
      </c>
      <c r="H1089" s="18">
        <v>0</v>
      </c>
      <c r="I1089" s="18">
        <v>4</v>
      </c>
      <c r="J1089" s="18">
        <v>0</v>
      </c>
      <c r="K1089" s="18">
        <v>0</v>
      </c>
      <c r="T1089" s="3">
        <v>7</v>
      </c>
      <c r="U1089" s="3">
        <v>7</v>
      </c>
      <c r="V1089" s="3">
        <v>3</v>
      </c>
      <c r="X1089" s="2" t="s">
        <v>1319</v>
      </c>
      <c r="Y1089" s="18">
        <v>0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  <c r="AE1089" s="18">
        <v>1</v>
      </c>
      <c r="AN1089" s="3">
        <v>1</v>
      </c>
      <c r="AO1089" s="3">
        <v>3</v>
      </c>
      <c r="AP1089" s="3">
        <v>3</v>
      </c>
      <c r="AR1089" s="2" t="s">
        <v>296</v>
      </c>
    </row>
    <row r="1090" spans="1:44" ht="12.75" customHeight="1">
      <c r="A1090" s="4">
        <v>14370</v>
      </c>
      <c r="B1090" s="2" t="s">
        <v>152</v>
      </c>
      <c r="C1090" s="2" t="s">
        <v>161</v>
      </c>
      <c r="T1090" s="3">
        <v>18</v>
      </c>
      <c r="U1090" s="3" t="s">
        <v>162</v>
      </c>
      <c r="V1090" s="3" t="s">
        <v>162</v>
      </c>
      <c r="X1090" s="2" t="s">
        <v>27</v>
      </c>
      <c r="AN1090" s="3">
        <v>10</v>
      </c>
      <c r="AO1090" s="3" t="s">
        <v>162</v>
      </c>
      <c r="AP1090" s="3" t="s">
        <v>162</v>
      </c>
      <c r="AR1090" s="2" t="s">
        <v>27</v>
      </c>
    </row>
    <row r="1091" spans="1:44" ht="12.75" customHeight="1">
      <c r="A1091" s="4">
        <v>14382</v>
      </c>
      <c r="C1091" s="2" t="s">
        <v>161</v>
      </c>
      <c r="E1091" s="18">
        <v>2</v>
      </c>
      <c r="F1091" s="18">
        <v>3</v>
      </c>
      <c r="G1091" s="18">
        <v>0</v>
      </c>
      <c r="H1091" s="18">
        <v>1</v>
      </c>
      <c r="I1091" s="18">
        <v>3</v>
      </c>
      <c r="J1091" s="18">
        <v>0</v>
      </c>
      <c r="K1091" s="18">
        <v>5</v>
      </c>
      <c r="L1091" s="18">
        <v>0</v>
      </c>
      <c r="M1091" s="18" t="s">
        <v>162</v>
      </c>
      <c r="T1091" s="3">
        <v>14</v>
      </c>
      <c r="U1091" s="3">
        <v>12</v>
      </c>
      <c r="V1091" s="3">
        <v>0</v>
      </c>
      <c r="X1091" s="2" t="s">
        <v>1924</v>
      </c>
      <c r="Y1091" s="18">
        <v>0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1</v>
      </c>
      <c r="AN1091" s="3">
        <v>1</v>
      </c>
      <c r="AO1091" s="3">
        <v>8</v>
      </c>
      <c r="AP1091" s="3">
        <v>4</v>
      </c>
      <c r="AR1091" s="2" t="s">
        <v>1928</v>
      </c>
    </row>
    <row r="1092" spans="1:44" ht="12.75" customHeight="1">
      <c r="A1092" s="4">
        <f>DATE(71,6,3)</f>
        <v>26087</v>
      </c>
      <c r="B1092" s="2" t="s">
        <v>239</v>
      </c>
      <c r="C1092" s="2" t="s">
        <v>251</v>
      </c>
      <c r="D1092" s="2" t="s">
        <v>243</v>
      </c>
      <c r="E1092" s="18">
        <v>1</v>
      </c>
      <c r="F1092" s="18">
        <v>0</v>
      </c>
      <c r="G1092" s="18">
        <v>1</v>
      </c>
      <c r="H1092" s="18">
        <v>0</v>
      </c>
      <c r="I1092" s="18">
        <v>0</v>
      </c>
      <c r="J1092" s="18">
        <v>0</v>
      </c>
      <c r="K1092" s="18">
        <v>0</v>
      </c>
      <c r="T1092" s="3">
        <v>2</v>
      </c>
      <c r="U1092" s="3">
        <v>10</v>
      </c>
      <c r="V1092" s="3">
        <v>0</v>
      </c>
      <c r="X1092" s="2" t="s">
        <v>949</v>
      </c>
      <c r="Y1092" s="18">
        <v>0</v>
      </c>
      <c r="Z1092" s="18">
        <v>1</v>
      </c>
      <c r="AA1092" s="18">
        <v>0</v>
      </c>
      <c r="AB1092" s="18">
        <v>0</v>
      </c>
      <c r="AC1092" s="18">
        <v>0</v>
      </c>
      <c r="AD1092" s="18">
        <v>0</v>
      </c>
      <c r="AE1092" s="18">
        <v>0</v>
      </c>
      <c r="AN1092" s="3">
        <v>1</v>
      </c>
      <c r="AO1092" s="3">
        <v>5</v>
      </c>
      <c r="AP1092" s="3">
        <v>1</v>
      </c>
      <c r="AR1092" s="2" t="s">
        <v>964</v>
      </c>
    </row>
    <row r="1093" spans="1:44" ht="12.75" customHeight="1">
      <c r="A1093" s="4">
        <f>DATE(82,3,26)</f>
        <v>30036</v>
      </c>
      <c r="B1093" s="2" t="s">
        <v>152</v>
      </c>
      <c r="C1093" s="2" t="s">
        <v>1357</v>
      </c>
      <c r="E1093" s="18">
        <v>2</v>
      </c>
      <c r="F1093" s="18">
        <v>0</v>
      </c>
      <c r="G1093" s="18">
        <v>6</v>
      </c>
      <c r="H1093" s="18">
        <v>1</v>
      </c>
      <c r="I1093" s="18">
        <v>3</v>
      </c>
      <c r="J1093" s="18">
        <v>5</v>
      </c>
      <c r="T1093" s="3">
        <v>17</v>
      </c>
      <c r="U1093" s="3">
        <v>13</v>
      </c>
      <c r="V1093" s="3">
        <v>3</v>
      </c>
      <c r="X1093" s="2" t="s">
        <v>1358</v>
      </c>
      <c r="Y1093" s="18">
        <v>1</v>
      </c>
      <c r="Z1093" s="18">
        <v>1</v>
      </c>
      <c r="AA1093" s="18">
        <v>0</v>
      </c>
      <c r="AB1093" s="18">
        <v>0</v>
      </c>
      <c r="AC1093" s="18">
        <v>1</v>
      </c>
      <c r="AD1093" s="18">
        <v>0</v>
      </c>
      <c r="AN1093" s="3">
        <v>3</v>
      </c>
      <c r="AO1093" s="3">
        <v>3</v>
      </c>
      <c r="AP1093" s="3">
        <v>7</v>
      </c>
      <c r="AR1093" s="2" t="s">
        <v>1359</v>
      </c>
    </row>
    <row r="1094" spans="1:44" ht="12.75" customHeight="1">
      <c r="A1094" s="20">
        <v>1945</v>
      </c>
      <c r="C1094" s="2" t="s">
        <v>183</v>
      </c>
      <c r="T1094" s="3">
        <v>2</v>
      </c>
      <c r="U1094" s="3" t="s">
        <v>162</v>
      </c>
      <c r="V1094" s="3" t="s">
        <v>162</v>
      </c>
      <c r="X1094" s="2" t="s">
        <v>27</v>
      </c>
      <c r="AN1094" s="3">
        <v>11</v>
      </c>
      <c r="AO1094" s="3" t="s">
        <v>162</v>
      </c>
      <c r="AP1094" s="3" t="s">
        <v>162</v>
      </c>
      <c r="AR1094" s="2" t="s">
        <v>27</v>
      </c>
    </row>
    <row r="1095" spans="1:44" ht="12.75" customHeight="1">
      <c r="A1095" s="20">
        <v>1945</v>
      </c>
      <c r="C1095" s="2" t="s">
        <v>183</v>
      </c>
      <c r="T1095" s="3">
        <v>2</v>
      </c>
      <c r="U1095" s="3" t="s">
        <v>162</v>
      </c>
      <c r="V1095" s="3" t="s">
        <v>162</v>
      </c>
      <c r="X1095" s="2" t="s">
        <v>27</v>
      </c>
      <c r="AN1095" s="3">
        <v>3</v>
      </c>
      <c r="AO1095" s="3" t="s">
        <v>162</v>
      </c>
      <c r="AP1095" s="3" t="s">
        <v>162</v>
      </c>
      <c r="AR1095" s="2" t="s">
        <v>27</v>
      </c>
    </row>
    <row r="1096" spans="1:44" ht="12.75" customHeight="1">
      <c r="A1096" s="4">
        <v>17666</v>
      </c>
      <c r="C1096" s="2" t="s">
        <v>183</v>
      </c>
      <c r="E1096" s="18">
        <v>0</v>
      </c>
      <c r="F1096" s="18">
        <v>0</v>
      </c>
      <c r="G1096" s="18">
        <v>0</v>
      </c>
      <c r="H1096" s="18">
        <v>2</v>
      </c>
      <c r="I1096" s="18">
        <v>0</v>
      </c>
      <c r="J1096" s="18">
        <v>0</v>
      </c>
      <c r="K1096" s="18">
        <v>0</v>
      </c>
      <c r="L1096" s="18">
        <v>0</v>
      </c>
      <c r="M1096" s="18">
        <v>3</v>
      </c>
      <c r="T1096" s="3">
        <v>5</v>
      </c>
      <c r="U1096" s="3">
        <v>10</v>
      </c>
      <c r="V1096" s="3">
        <v>6</v>
      </c>
      <c r="X1096" s="2" t="s">
        <v>77</v>
      </c>
      <c r="Y1096" s="18">
        <v>0</v>
      </c>
      <c r="Z1096" s="18">
        <v>0</v>
      </c>
      <c r="AA1096" s="18">
        <v>0</v>
      </c>
      <c r="AB1096" s="18">
        <v>0</v>
      </c>
      <c r="AC1096" s="18">
        <v>0</v>
      </c>
      <c r="AD1096" s="18">
        <v>1</v>
      </c>
      <c r="AE1096" s="18">
        <v>1</v>
      </c>
      <c r="AF1096" s="18">
        <v>0</v>
      </c>
      <c r="AG1096" s="18">
        <v>2</v>
      </c>
      <c r="AN1096" s="3">
        <v>4</v>
      </c>
      <c r="AO1096" s="3">
        <v>6</v>
      </c>
      <c r="AP1096" s="3">
        <v>7</v>
      </c>
      <c r="AR1096" s="2" t="s">
        <v>349</v>
      </c>
    </row>
    <row r="1097" spans="1:44" ht="12.75" customHeight="1">
      <c r="A1097" s="4">
        <f>DATE(77,5,6)</f>
        <v>28251</v>
      </c>
      <c r="C1097" s="2" t="s">
        <v>183</v>
      </c>
      <c r="E1097" s="18">
        <v>4</v>
      </c>
      <c r="F1097" s="18">
        <v>0</v>
      </c>
      <c r="G1097" s="18">
        <v>0</v>
      </c>
      <c r="H1097" s="18">
        <v>3</v>
      </c>
      <c r="I1097" s="18">
        <v>0</v>
      </c>
      <c r="J1097" s="18">
        <v>0</v>
      </c>
      <c r="K1097" s="18" t="s">
        <v>162</v>
      </c>
      <c r="T1097" s="3">
        <v>7</v>
      </c>
      <c r="U1097" s="3">
        <v>8</v>
      </c>
      <c r="V1097" s="3">
        <v>2</v>
      </c>
      <c r="X1097" s="2" t="s">
        <v>1086</v>
      </c>
      <c r="Y1097" s="18">
        <v>1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  <c r="AE1097" s="18">
        <v>0</v>
      </c>
      <c r="AN1097" s="3">
        <v>1</v>
      </c>
      <c r="AO1097" s="3">
        <v>3</v>
      </c>
      <c r="AP1097" s="3">
        <v>3</v>
      </c>
      <c r="AR1097" s="2" t="s">
        <v>1130</v>
      </c>
    </row>
    <row r="1098" spans="1:44" ht="12.75" customHeight="1">
      <c r="A1098" s="4">
        <f>DATE(77,5,27)</f>
        <v>28272</v>
      </c>
      <c r="C1098" s="2" t="s">
        <v>183</v>
      </c>
      <c r="D1098" s="2" t="s">
        <v>258</v>
      </c>
      <c r="E1098" s="18">
        <v>0</v>
      </c>
      <c r="F1098" s="18">
        <v>0</v>
      </c>
      <c r="G1098" s="18">
        <v>1</v>
      </c>
      <c r="H1098" s="18">
        <v>1</v>
      </c>
      <c r="I1098" s="18">
        <v>0</v>
      </c>
      <c r="J1098" s="18">
        <v>0</v>
      </c>
      <c r="K1098" s="18">
        <v>0</v>
      </c>
      <c r="L1098" s="18">
        <v>0</v>
      </c>
      <c r="T1098" s="3">
        <v>2</v>
      </c>
      <c r="U1098" s="3">
        <v>7</v>
      </c>
      <c r="V1098" s="3">
        <v>3</v>
      </c>
      <c r="X1098" s="2" t="s">
        <v>1088</v>
      </c>
      <c r="Y1098" s="18">
        <v>0</v>
      </c>
      <c r="Z1098" s="18">
        <v>1</v>
      </c>
      <c r="AA1098" s="18">
        <v>0</v>
      </c>
      <c r="AB1098" s="18">
        <v>0</v>
      </c>
      <c r="AC1098" s="18">
        <v>0</v>
      </c>
      <c r="AD1098" s="18">
        <v>1</v>
      </c>
      <c r="AE1098" s="18">
        <v>0</v>
      </c>
      <c r="AF1098" s="18">
        <v>1</v>
      </c>
      <c r="AN1098" s="3">
        <v>3</v>
      </c>
      <c r="AO1098" s="3">
        <v>6</v>
      </c>
      <c r="AP1098" s="3">
        <v>4</v>
      </c>
      <c r="AR1098" s="2" t="s">
        <v>1139</v>
      </c>
    </row>
    <row r="1099" spans="1:44" ht="12.75" customHeight="1">
      <c r="A1099" s="4">
        <f>DATE(77,5,28)</f>
        <v>28273</v>
      </c>
      <c r="C1099" s="2" t="s">
        <v>183</v>
      </c>
      <c r="D1099" s="2" t="s">
        <v>258</v>
      </c>
      <c r="E1099" s="18">
        <v>2</v>
      </c>
      <c r="F1099" s="18">
        <v>0</v>
      </c>
      <c r="G1099" s="18">
        <v>2</v>
      </c>
      <c r="H1099" s="18">
        <v>0</v>
      </c>
      <c r="I1099" s="18">
        <v>2</v>
      </c>
      <c r="J1099" s="18">
        <v>2</v>
      </c>
      <c r="K1099" s="18" t="s">
        <v>162</v>
      </c>
      <c r="T1099" s="3">
        <v>8</v>
      </c>
      <c r="U1099" s="3">
        <v>12</v>
      </c>
      <c r="V1099" s="3">
        <v>3</v>
      </c>
      <c r="X1099" s="2" t="s">
        <v>1086</v>
      </c>
      <c r="Y1099" s="18">
        <v>0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  <c r="AE1099" s="18">
        <v>4</v>
      </c>
      <c r="AN1099" s="3">
        <v>4</v>
      </c>
      <c r="AO1099" s="3">
        <v>4</v>
      </c>
      <c r="AP1099" s="3">
        <v>3</v>
      </c>
      <c r="AR1099" s="2" t="s">
        <v>1142</v>
      </c>
    </row>
    <row r="1100" spans="1:44" ht="12.75" customHeight="1">
      <c r="A1100" s="4">
        <f>DATE(77,5,30)</f>
        <v>28275</v>
      </c>
      <c r="C1100" s="2" t="s">
        <v>183</v>
      </c>
      <c r="D1100" s="2" t="s">
        <v>258</v>
      </c>
      <c r="E1100" s="18">
        <v>5</v>
      </c>
      <c r="F1100" s="18">
        <v>2</v>
      </c>
      <c r="G1100" s="18">
        <v>2</v>
      </c>
      <c r="H1100" s="18">
        <v>0</v>
      </c>
      <c r="I1100" s="18">
        <v>1</v>
      </c>
      <c r="J1100" s="18">
        <v>1</v>
      </c>
      <c r="T1100" s="3">
        <v>11</v>
      </c>
      <c r="U1100" s="3">
        <v>12</v>
      </c>
      <c r="V1100" s="3">
        <v>4</v>
      </c>
      <c r="X1100" s="2" t="s">
        <v>1082</v>
      </c>
      <c r="Y1100" s="18">
        <v>1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  <c r="AN1100" s="3">
        <v>1</v>
      </c>
      <c r="AO1100" s="3">
        <v>3</v>
      </c>
      <c r="AP1100" s="3">
        <v>2</v>
      </c>
      <c r="AR1100" s="2" t="s">
        <v>1143</v>
      </c>
    </row>
    <row r="1101" spans="1:44" ht="12.75" customHeight="1">
      <c r="A1101" s="4">
        <f>DATE(78,4,8)</f>
        <v>28588</v>
      </c>
      <c r="B1101" s="2" t="s">
        <v>152</v>
      </c>
      <c r="C1101" s="2" t="s">
        <v>183</v>
      </c>
      <c r="E1101" s="18">
        <v>0</v>
      </c>
      <c r="F1101" s="18">
        <v>2</v>
      </c>
      <c r="G1101" s="18">
        <v>2</v>
      </c>
      <c r="H1101" s="18">
        <v>1</v>
      </c>
      <c r="I1101" s="18">
        <v>1</v>
      </c>
      <c r="J1101" s="18">
        <v>0</v>
      </c>
      <c r="K1101" s="18">
        <v>1</v>
      </c>
      <c r="T1101" s="3">
        <v>7</v>
      </c>
      <c r="U1101" s="3">
        <v>9</v>
      </c>
      <c r="V1101" s="3">
        <v>3</v>
      </c>
      <c r="X1101" s="2" t="s">
        <v>1157</v>
      </c>
      <c r="Y1101" s="18">
        <v>2</v>
      </c>
      <c r="Z1101" s="18">
        <v>1</v>
      </c>
      <c r="AA1101" s="18">
        <v>1</v>
      </c>
      <c r="AB1101" s="18">
        <v>0</v>
      </c>
      <c r="AC1101" s="18">
        <v>0</v>
      </c>
      <c r="AD1101" s="18">
        <v>0</v>
      </c>
      <c r="AE1101" s="18">
        <v>0</v>
      </c>
      <c r="AN1101" s="3">
        <v>4</v>
      </c>
      <c r="AO1101" s="3">
        <v>6</v>
      </c>
      <c r="AP1101" s="3">
        <v>1</v>
      </c>
      <c r="AR1101" s="2" t="s">
        <v>1160</v>
      </c>
    </row>
    <row r="1102" spans="1:44" ht="12.75" customHeight="1">
      <c r="A1102" s="4">
        <f>DATE(78,5,27)</f>
        <v>28637</v>
      </c>
      <c r="B1102" s="2" t="s">
        <v>239</v>
      </c>
      <c r="C1102" s="2" t="s">
        <v>183</v>
      </c>
      <c r="D1102" s="2" t="s">
        <v>258</v>
      </c>
      <c r="E1102" s="18">
        <v>1</v>
      </c>
      <c r="F1102" s="18">
        <v>5</v>
      </c>
      <c r="G1102" s="18">
        <v>8</v>
      </c>
      <c r="H1102" s="18">
        <v>3</v>
      </c>
      <c r="I1102" s="18">
        <v>2</v>
      </c>
      <c r="T1102" s="3">
        <v>19</v>
      </c>
      <c r="U1102" s="3">
        <v>17</v>
      </c>
      <c r="V1102" s="3">
        <v>2</v>
      </c>
      <c r="X1102" s="2" t="s">
        <v>1140</v>
      </c>
      <c r="Y1102" s="18">
        <v>0</v>
      </c>
      <c r="Z1102" s="18">
        <v>0</v>
      </c>
      <c r="AA1102" s="18">
        <v>2</v>
      </c>
      <c r="AB1102" s="18">
        <v>0</v>
      </c>
      <c r="AC1102" s="18">
        <v>0</v>
      </c>
      <c r="AN1102" s="3">
        <v>2</v>
      </c>
      <c r="AO1102" s="3">
        <v>6</v>
      </c>
      <c r="AP1102" s="3">
        <v>2</v>
      </c>
      <c r="AR1102" s="2" t="s">
        <v>1182</v>
      </c>
    </row>
    <row r="1103" spans="1:44" ht="12.75" customHeight="1">
      <c r="A1103" s="4">
        <f>DATE(79,4,7)</f>
        <v>28952</v>
      </c>
      <c r="C1103" s="2" t="s">
        <v>183</v>
      </c>
      <c r="E1103" s="18">
        <v>0</v>
      </c>
      <c r="F1103" s="18">
        <v>0</v>
      </c>
      <c r="G1103" s="18">
        <v>0</v>
      </c>
      <c r="H1103" s="18">
        <v>3</v>
      </c>
      <c r="I1103" s="18">
        <v>0</v>
      </c>
      <c r="J1103" s="18">
        <v>0</v>
      </c>
      <c r="K1103" s="18">
        <v>6</v>
      </c>
      <c r="T1103" s="3">
        <v>9</v>
      </c>
      <c r="U1103" s="3">
        <v>8</v>
      </c>
      <c r="V1103" s="3">
        <v>5</v>
      </c>
      <c r="X1103" s="2" t="s">
        <v>1193</v>
      </c>
      <c r="Y1103" s="18">
        <v>4</v>
      </c>
      <c r="Z1103" s="18">
        <v>0</v>
      </c>
      <c r="AA1103" s="18">
        <v>2</v>
      </c>
      <c r="AB1103" s="18">
        <v>0</v>
      </c>
      <c r="AC1103" s="18">
        <v>2</v>
      </c>
      <c r="AD1103" s="18">
        <v>1</v>
      </c>
      <c r="AE1103" s="18">
        <v>2</v>
      </c>
      <c r="AN1103" s="3">
        <v>11</v>
      </c>
      <c r="AO1103" s="3">
        <v>6</v>
      </c>
      <c r="AP1103" s="3">
        <v>4</v>
      </c>
      <c r="AR1103" s="2" t="s">
        <v>1194</v>
      </c>
    </row>
    <row r="1104" spans="1:44" ht="12.75" customHeight="1">
      <c r="A1104" s="4">
        <f>DATE(79,5,5)</f>
        <v>28980</v>
      </c>
      <c r="B1104" s="2" t="s">
        <v>152</v>
      </c>
      <c r="C1104" s="2" t="s">
        <v>183</v>
      </c>
      <c r="E1104" s="18">
        <v>0</v>
      </c>
      <c r="F1104" s="18">
        <v>0</v>
      </c>
      <c r="G1104" s="18">
        <v>0</v>
      </c>
      <c r="H1104" s="18">
        <v>2</v>
      </c>
      <c r="I1104" s="18">
        <v>1</v>
      </c>
      <c r="J1104" s="18">
        <v>0</v>
      </c>
      <c r="K1104" s="18">
        <v>3</v>
      </c>
      <c r="T1104" s="3">
        <v>6</v>
      </c>
      <c r="U1104" s="3">
        <v>8</v>
      </c>
      <c r="V1104" s="3">
        <v>2</v>
      </c>
      <c r="X1104" s="2" t="s">
        <v>1149</v>
      </c>
      <c r="Y1104" s="18">
        <v>0</v>
      </c>
      <c r="Z1104" s="18">
        <v>0</v>
      </c>
      <c r="AA1104" s="18">
        <v>0</v>
      </c>
      <c r="AB1104" s="18">
        <v>2</v>
      </c>
      <c r="AC1104" s="18">
        <v>0</v>
      </c>
      <c r="AD1104" s="18">
        <v>0</v>
      </c>
      <c r="AE1104" s="18">
        <v>0</v>
      </c>
      <c r="AN1104" s="3">
        <v>2</v>
      </c>
      <c r="AO1104" s="3">
        <v>3</v>
      </c>
      <c r="AP1104" s="3">
        <v>2</v>
      </c>
      <c r="AR1104" s="2" t="s">
        <v>1215</v>
      </c>
    </row>
    <row r="1105" spans="1:44" ht="12.75" customHeight="1">
      <c r="A1105" s="4">
        <f>DATE(79,5,22)</f>
        <v>28997</v>
      </c>
      <c r="B1105" s="2" t="s">
        <v>239</v>
      </c>
      <c r="C1105" s="2" t="s">
        <v>183</v>
      </c>
      <c r="D1105" s="2" t="s">
        <v>258</v>
      </c>
      <c r="E1105" s="18">
        <v>0</v>
      </c>
      <c r="F1105" s="18">
        <v>0</v>
      </c>
      <c r="G1105" s="18">
        <v>0</v>
      </c>
      <c r="H1105" s="18">
        <v>0</v>
      </c>
      <c r="I1105" s="18">
        <v>0</v>
      </c>
      <c r="J1105" s="18">
        <v>2</v>
      </c>
      <c r="K1105" s="18">
        <v>0</v>
      </c>
      <c r="L1105" s="18">
        <v>0</v>
      </c>
      <c r="M1105" s="18">
        <v>1</v>
      </c>
      <c r="T1105" s="3">
        <v>3</v>
      </c>
      <c r="U1105" s="3">
        <v>6</v>
      </c>
      <c r="V1105" s="3">
        <v>1</v>
      </c>
      <c r="X1105" s="2" t="s">
        <v>1223</v>
      </c>
      <c r="Y1105" s="18">
        <v>0</v>
      </c>
      <c r="Z1105" s="18">
        <v>0</v>
      </c>
      <c r="AA1105" s="18">
        <v>0</v>
      </c>
      <c r="AB1105" s="18">
        <v>2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N1105" s="3">
        <v>2</v>
      </c>
      <c r="AO1105" s="3">
        <v>6</v>
      </c>
      <c r="AP1105" s="3">
        <v>1</v>
      </c>
      <c r="AR1105" s="2" t="s">
        <v>1224</v>
      </c>
    </row>
    <row r="1106" spans="1:44" ht="12.75" customHeight="1">
      <c r="A1106" s="4">
        <f>DATE(80,5,3)</f>
        <v>29344</v>
      </c>
      <c r="C1106" s="2" t="s">
        <v>183</v>
      </c>
      <c r="E1106" s="18">
        <v>0</v>
      </c>
      <c r="F1106" s="18">
        <v>6</v>
      </c>
      <c r="G1106" s="18">
        <v>1</v>
      </c>
      <c r="H1106" s="18">
        <v>0</v>
      </c>
      <c r="I1106" s="18">
        <v>3</v>
      </c>
      <c r="T1106" s="3">
        <v>10</v>
      </c>
      <c r="U1106" s="3">
        <v>6</v>
      </c>
      <c r="V1106" s="3">
        <v>1</v>
      </c>
      <c r="X1106" s="2" t="s">
        <v>1296</v>
      </c>
      <c r="Y1106" s="18">
        <v>0</v>
      </c>
      <c r="Z1106" s="18">
        <v>0</v>
      </c>
      <c r="AA1106" s="18">
        <v>0</v>
      </c>
      <c r="AB1106" s="18">
        <v>0</v>
      </c>
      <c r="AC1106" s="18">
        <v>0</v>
      </c>
      <c r="AN1106" s="3">
        <v>0</v>
      </c>
      <c r="AO1106" s="3">
        <v>6</v>
      </c>
      <c r="AP1106" s="3">
        <v>1</v>
      </c>
      <c r="AR1106" s="2" t="s">
        <v>1297</v>
      </c>
    </row>
    <row r="1107" spans="1:44" ht="12.75" customHeight="1">
      <c r="A1107" s="4">
        <f>DATE(80,5,14)</f>
        <v>29355</v>
      </c>
      <c r="B1107" s="2" t="s">
        <v>152</v>
      </c>
      <c r="C1107" s="2" t="s">
        <v>183</v>
      </c>
      <c r="E1107" s="18">
        <v>1</v>
      </c>
      <c r="F1107" s="18">
        <v>0</v>
      </c>
      <c r="G1107" s="18">
        <v>1</v>
      </c>
      <c r="H1107" s="18">
        <v>0</v>
      </c>
      <c r="I1107" s="18">
        <v>2</v>
      </c>
      <c r="J1107" s="18">
        <v>0</v>
      </c>
      <c r="K1107" s="18">
        <v>2</v>
      </c>
      <c r="T1107" s="3">
        <v>6</v>
      </c>
      <c r="U1107" s="3">
        <v>8</v>
      </c>
      <c r="V1107" s="3">
        <v>0</v>
      </c>
      <c r="X1107" s="2" t="s">
        <v>1294</v>
      </c>
      <c r="Y1107" s="18">
        <v>0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  <c r="AE1107" s="18">
        <v>2</v>
      </c>
      <c r="AN1107" s="3">
        <v>2</v>
      </c>
      <c r="AO1107" s="3">
        <v>4</v>
      </c>
      <c r="AP1107" s="3">
        <v>1</v>
      </c>
      <c r="AR1107" s="2" t="s">
        <v>1302</v>
      </c>
    </row>
    <row r="1108" spans="1:44" ht="12.75" customHeight="1">
      <c r="A1108" s="4">
        <f>DATE(80,5,28)</f>
        <v>29369</v>
      </c>
      <c r="C1108" s="2" t="s">
        <v>183</v>
      </c>
      <c r="D1108" s="2" t="s">
        <v>258</v>
      </c>
      <c r="E1108" s="18">
        <v>3</v>
      </c>
      <c r="F1108" s="18">
        <v>2</v>
      </c>
      <c r="G1108" s="18">
        <v>3</v>
      </c>
      <c r="H1108" s="18">
        <v>8</v>
      </c>
      <c r="I1108" s="18">
        <v>4</v>
      </c>
      <c r="J1108" s="18">
        <v>0</v>
      </c>
      <c r="K1108" s="18">
        <v>2</v>
      </c>
      <c r="T1108" s="3">
        <v>22</v>
      </c>
      <c r="U1108" s="3">
        <v>20</v>
      </c>
      <c r="V1108" s="3">
        <v>8</v>
      </c>
      <c r="X1108" s="2" t="s">
        <v>1307</v>
      </c>
      <c r="Y1108" s="18">
        <v>0</v>
      </c>
      <c r="Z1108" s="18">
        <v>0</v>
      </c>
      <c r="AA1108" s="18">
        <v>1</v>
      </c>
      <c r="AB1108" s="18">
        <v>4</v>
      </c>
      <c r="AC1108" s="18">
        <v>6</v>
      </c>
      <c r="AD1108" s="18">
        <v>6</v>
      </c>
      <c r="AE1108" s="18">
        <v>1</v>
      </c>
      <c r="AN1108" s="3">
        <v>18</v>
      </c>
      <c r="AO1108" s="3">
        <v>13</v>
      </c>
      <c r="AP1108" s="3">
        <v>2</v>
      </c>
      <c r="AR1108" s="2" t="s">
        <v>1309</v>
      </c>
    </row>
    <row r="1109" spans="1:44" ht="12.75" customHeight="1">
      <c r="A1109" s="4">
        <f>DATE(81,4,11)</f>
        <v>29687</v>
      </c>
      <c r="C1109" s="2" t="s">
        <v>183</v>
      </c>
      <c r="E1109" s="18">
        <v>3</v>
      </c>
      <c r="F1109" s="18">
        <v>0</v>
      </c>
      <c r="G1109" s="18">
        <v>1</v>
      </c>
      <c r="H1109" s="18">
        <v>0</v>
      </c>
      <c r="I1109" s="18">
        <v>0</v>
      </c>
      <c r="J1109" s="18">
        <v>0</v>
      </c>
      <c r="K1109" s="18">
        <v>2</v>
      </c>
      <c r="T1109" s="3">
        <v>6</v>
      </c>
      <c r="U1109" s="3">
        <v>8</v>
      </c>
      <c r="V1109" s="3">
        <v>1</v>
      </c>
      <c r="X1109" s="2" t="s">
        <v>1256</v>
      </c>
      <c r="Y1109" s="18">
        <v>1</v>
      </c>
      <c r="Z1109" s="18">
        <v>0</v>
      </c>
      <c r="AA1109" s="18">
        <v>1</v>
      </c>
      <c r="AB1109" s="18">
        <v>0</v>
      </c>
      <c r="AC1109" s="18">
        <v>2</v>
      </c>
      <c r="AD1109" s="18">
        <v>3</v>
      </c>
      <c r="AE1109" s="18">
        <v>1</v>
      </c>
      <c r="AN1109" s="3">
        <v>8</v>
      </c>
      <c r="AO1109" s="3">
        <v>8</v>
      </c>
      <c r="AP1109" s="3">
        <v>1</v>
      </c>
      <c r="AR1109" s="2" t="s">
        <v>1326</v>
      </c>
    </row>
    <row r="1110" spans="1:44" ht="12.75" customHeight="1">
      <c r="A1110" s="4">
        <f>DATE(81,4,11)</f>
        <v>29687</v>
      </c>
      <c r="C1110" s="2" t="s">
        <v>183</v>
      </c>
      <c r="E1110" s="18">
        <v>0</v>
      </c>
      <c r="F1110" s="18">
        <v>4</v>
      </c>
      <c r="G1110" s="18">
        <v>3</v>
      </c>
      <c r="H1110" s="18">
        <v>0</v>
      </c>
      <c r="I1110" s="18">
        <v>2</v>
      </c>
      <c r="J1110" s="18">
        <v>0</v>
      </c>
      <c r="K1110" s="18" t="s">
        <v>162</v>
      </c>
      <c r="T1110" s="3">
        <v>9</v>
      </c>
      <c r="U1110" s="3">
        <v>10</v>
      </c>
      <c r="V1110" s="3">
        <v>1</v>
      </c>
      <c r="X1110" s="2" t="s">
        <v>1327</v>
      </c>
      <c r="Y1110" s="18">
        <v>4</v>
      </c>
      <c r="Z1110" s="18">
        <v>0</v>
      </c>
      <c r="AA1110" s="18">
        <v>0</v>
      </c>
      <c r="AB1110" s="18">
        <v>0</v>
      </c>
      <c r="AC1110" s="18">
        <v>3</v>
      </c>
      <c r="AD1110" s="18">
        <v>1</v>
      </c>
      <c r="AE1110" s="18">
        <v>0</v>
      </c>
      <c r="AN1110" s="3">
        <v>8</v>
      </c>
      <c r="AO1110" s="3">
        <v>10</v>
      </c>
      <c r="AP1110" s="3">
        <v>1</v>
      </c>
      <c r="AR1110" s="2" t="s">
        <v>1328</v>
      </c>
    </row>
    <row r="1111" spans="1:44" ht="12.75" customHeight="1">
      <c r="A1111" s="4">
        <f>DATE(81,5,9)</f>
        <v>29715</v>
      </c>
      <c r="B1111" s="2" t="s">
        <v>152</v>
      </c>
      <c r="C1111" s="2" t="s">
        <v>183</v>
      </c>
      <c r="E1111" s="18">
        <v>0</v>
      </c>
      <c r="F1111" s="18">
        <v>1</v>
      </c>
      <c r="G1111" s="18">
        <v>1</v>
      </c>
      <c r="H1111" s="18">
        <v>0</v>
      </c>
      <c r="I1111" s="18">
        <v>1</v>
      </c>
      <c r="J1111" s="18">
        <v>3</v>
      </c>
      <c r="K1111" s="18">
        <v>0</v>
      </c>
      <c r="T1111" s="3">
        <v>6</v>
      </c>
      <c r="U1111" s="3">
        <v>8</v>
      </c>
      <c r="V1111" s="3">
        <v>0</v>
      </c>
      <c r="X1111" s="2" t="s">
        <v>1245</v>
      </c>
      <c r="Y1111" s="18">
        <v>2</v>
      </c>
      <c r="Z1111" s="18">
        <v>0</v>
      </c>
      <c r="AA1111" s="18">
        <v>0</v>
      </c>
      <c r="AB1111" s="18">
        <v>0</v>
      </c>
      <c r="AC1111" s="18">
        <v>3</v>
      </c>
      <c r="AD1111" s="18">
        <v>2</v>
      </c>
      <c r="AE1111" s="18" t="s">
        <v>162</v>
      </c>
      <c r="AN1111" s="3">
        <v>7</v>
      </c>
      <c r="AO1111" s="3">
        <v>10</v>
      </c>
      <c r="AP1111" s="3">
        <v>2</v>
      </c>
      <c r="AR1111" s="2" t="s">
        <v>1348</v>
      </c>
    </row>
    <row r="1112" spans="1:44" ht="12.75" customHeight="1">
      <c r="A1112" s="4">
        <f>DATE(81,5,9)</f>
        <v>29715</v>
      </c>
      <c r="B1112" s="2" t="s">
        <v>152</v>
      </c>
      <c r="C1112" s="2" t="s">
        <v>183</v>
      </c>
      <c r="E1112" s="18">
        <v>3</v>
      </c>
      <c r="F1112" s="18">
        <v>0</v>
      </c>
      <c r="G1112" s="18">
        <v>0</v>
      </c>
      <c r="H1112" s="18">
        <v>0</v>
      </c>
      <c r="I1112" s="18">
        <v>7</v>
      </c>
      <c r="J1112" s="18">
        <v>0</v>
      </c>
      <c r="K1112" s="18">
        <v>1</v>
      </c>
      <c r="T1112" s="3">
        <v>11</v>
      </c>
      <c r="U1112" s="3">
        <v>8</v>
      </c>
      <c r="V1112" s="3">
        <v>4</v>
      </c>
      <c r="X1112" s="2" t="s">
        <v>1339</v>
      </c>
      <c r="Y1112" s="18">
        <v>2</v>
      </c>
      <c r="Z1112" s="18">
        <v>0</v>
      </c>
      <c r="AA1112" s="18">
        <v>1</v>
      </c>
      <c r="AB1112" s="18">
        <v>0</v>
      </c>
      <c r="AC1112" s="18">
        <v>0</v>
      </c>
      <c r="AD1112" s="18">
        <v>0</v>
      </c>
      <c r="AE1112" s="18">
        <v>1</v>
      </c>
      <c r="AN1112" s="3">
        <v>4</v>
      </c>
      <c r="AO1112" s="3">
        <v>6</v>
      </c>
      <c r="AP1112" s="3">
        <v>2</v>
      </c>
      <c r="AR1112" s="2" t="s">
        <v>1349</v>
      </c>
    </row>
    <row r="1113" spans="1:44" ht="12.75" customHeight="1">
      <c r="A1113" s="4">
        <f>DATE(82,5,17)</f>
        <v>30088</v>
      </c>
      <c r="C1113" s="2" t="s">
        <v>183</v>
      </c>
      <c r="E1113" s="18">
        <v>2</v>
      </c>
      <c r="F1113" s="18">
        <v>4</v>
      </c>
      <c r="G1113" s="18">
        <v>2</v>
      </c>
      <c r="H1113" s="18">
        <v>0</v>
      </c>
      <c r="I1113" s="18">
        <v>2</v>
      </c>
      <c r="T1113" s="3">
        <v>10</v>
      </c>
      <c r="U1113" s="3">
        <v>12</v>
      </c>
      <c r="V1113" s="3">
        <v>2</v>
      </c>
      <c r="X1113" s="2" t="s">
        <v>1334</v>
      </c>
      <c r="Y1113" s="18">
        <v>0</v>
      </c>
      <c r="Z1113" s="18">
        <v>0</v>
      </c>
      <c r="AA1113" s="18">
        <v>0</v>
      </c>
      <c r="AB1113" s="18">
        <v>0</v>
      </c>
      <c r="AC1113" s="18">
        <v>0</v>
      </c>
      <c r="AN1113" s="3">
        <v>0</v>
      </c>
      <c r="AO1113" s="3">
        <v>0</v>
      </c>
      <c r="AP1113" s="3">
        <v>3</v>
      </c>
      <c r="AR1113" s="2" t="s">
        <v>1391</v>
      </c>
    </row>
    <row r="1114" spans="1:44" ht="12.75" customHeight="1">
      <c r="A1114" s="4">
        <f>DATE(82,5,25)</f>
        <v>30096</v>
      </c>
      <c r="B1114" s="2" t="s">
        <v>239</v>
      </c>
      <c r="C1114" s="2" t="s">
        <v>183</v>
      </c>
      <c r="D1114" s="2" t="s">
        <v>258</v>
      </c>
      <c r="E1114" s="18">
        <v>0</v>
      </c>
      <c r="F1114" s="18">
        <v>1</v>
      </c>
      <c r="G1114" s="18">
        <v>0</v>
      </c>
      <c r="H1114" s="18">
        <v>0</v>
      </c>
      <c r="I1114" s="18">
        <v>0</v>
      </c>
      <c r="J1114" s="18">
        <v>0</v>
      </c>
      <c r="K1114" s="18" t="s">
        <v>162</v>
      </c>
      <c r="T1114" s="3">
        <v>1</v>
      </c>
      <c r="U1114" s="3">
        <v>5</v>
      </c>
      <c r="V1114" s="3">
        <v>1</v>
      </c>
      <c r="X1114" s="2" t="s">
        <v>1339</v>
      </c>
      <c r="Y1114" s="18">
        <v>0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  <c r="AE1114" s="18">
        <v>0</v>
      </c>
      <c r="AN1114" s="3">
        <v>0</v>
      </c>
      <c r="AO1114" s="3">
        <v>0</v>
      </c>
      <c r="AP1114" s="3">
        <v>1</v>
      </c>
      <c r="AR1114" s="2" t="s">
        <v>1393</v>
      </c>
    </row>
    <row r="1115" spans="1:44" ht="12.75" customHeight="1">
      <c r="A1115" s="4">
        <f>DATE(83,4,16)</f>
        <v>30422</v>
      </c>
      <c r="C1115" s="2" t="s">
        <v>183</v>
      </c>
      <c r="E1115" s="18">
        <v>4</v>
      </c>
      <c r="F1115" s="18">
        <v>0</v>
      </c>
      <c r="G1115" s="18">
        <v>0</v>
      </c>
      <c r="H1115" s="18">
        <v>2</v>
      </c>
      <c r="I1115" s="18">
        <v>2</v>
      </c>
      <c r="J1115" s="18">
        <v>2</v>
      </c>
      <c r="K1115" s="18" t="s">
        <v>162</v>
      </c>
      <c r="T1115" s="3">
        <v>10</v>
      </c>
      <c r="U1115" s="3">
        <v>9</v>
      </c>
      <c r="V1115" s="3">
        <v>2</v>
      </c>
      <c r="X1115" s="2" t="s">
        <v>1339</v>
      </c>
      <c r="Y1115" s="18">
        <v>3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1</v>
      </c>
      <c r="AN1115" s="3">
        <v>4</v>
      </c>
      <c r="AO1115" s="3">
        <v>5</v>
      </c>
      <c r="AP1115" s="3">
        <v>3</v>
      </c>
      <c r="AR1115" s="2" t="s">
        <v>1405</v>
      </c>
    </row>
    <row r="1116" spans="1:44" ht="12.75" customHeight="1">
      <c r="A1116" s="4">
        <f>DATE(83,4,16)</f>
        <v>30422</v>
      </c>
      <c r="C1116" s="2" t="s">
        <v>183</v>
      </c>
      <c r="E1116" s="18">
        <v>0</v>
      </c>
      <c r="F1116" s="18">
        <v>0</v>
      </c>
      <c r="G1116" s="18">
        <v>3</v>
      </c>
      <c r="H1116" s="18">
        <v>6</v>
      </c>
      <c r="I1116" s="18">
        <v>1</v>
      </c>
      <c r="J1116" s="18">
        <v>0</v>
      </c>
      <c r="K1116" s="18" t="s">
        <v>162</v>
      </c>
      <c r="T1116" s="3">
        <v>10</v>
      </c>
      <c r="U1116" s="3">
        <v>13</v>
      </c>
      <c r="V1116" s="3">
        <v>2</v>
      </c>
      <c r="X1116" s="2" t="s">
        <v>1406</v>
      </c>
      <c r="Y1116" s="18">
        <v>1</v>
      </c>
      <c r="Z1116" s="18">
        <v>1</v>
      </c>
      <c r="AA1116" s="18">
        <v>0</v>
      </c>
      <c r="AB1116" s="18">
        <v>1</v>
      </c>
      <c r="AC1116" s="18">
        <v>5</v>
      </c>
      <c r="AD1116" s="18">
        <v>0</v>
      </c>
      <c r="AE1116" s="18">
        <v>1</v>
      </c>
      <c r="AN1116" s="3">
        <v>9</v>
      </c>
      <c r="AO1116" s="3">
        <v>16</v>
      </c>
      <c r="AP1116" s="3">
        <v>1</v>
      </c>
      <c r="AR1116" s="2" t="s">
        <v>1407</v>
      </c>
    </row>
    <row r="1117" spans="1:44" ht="12.75" customHeight="1">
      <c r="A1117" s="4">
        <f>DATE(83,5,14)</f>
        <v>30450</v>
      </c>
      <c r="B1117" s="2" t="s">
        <v>152</v>
      </c>
      <c r="C1117" s="2" t="s">
        <v>183</v>
      </c>
      <c r="E1117" s="18">
        <v>0</v>
      </c>
      <c r="F1117" s="18">
        <v>1</v>
      </c>
      <c r="G1117" s="18">
        <v>2</v>
      </c>
      <c r="H1117" s="18">
        <v>2</v>
      </c>
      <c r="I1117" s="18">
        <v>2</v>
      </c>
      <c r="J1117" s="18">
        <v>1</v>
      </c>
      <c r="K1117" s="18">
        <v>0</v>
      </c>
      <c r="T1117" s="3">
        <v>8</v>
      </c>
      <c r="U1117" s="3">
        <v>10</v>
      </c>
      <c r="V1117" s="3">
        <v>1</v>
      </c>
      <c r="X1117" s="2" t="s">
        <v>1378</v>
      </c>
      <c r="Y1117" s="18">
        <v>1</v>
      </c>
      <c r="Z1117" s="18">
        <v>1</v>
      </c>
      <c r="AA1117" s="18">
        <v>0</v>
      </c>
      <c r="AB1117" s="18">
        <v>0</v>
      </c>
      <c r="AC1117" s="18">
        <v>0</v>
      </c>
      <c r="AD1117" s="18">
        <v>0</v>
      </c>
      <c r="AE1117" s="18">
        <v>0</v>
      </c>
      <c r="AN1117" s="3">
        <v>2</v>
      </c>
      <c r="AO1117" s="3">
        <v>5</v>
      </c>
      <c r="AP1117" s="3">
        <v>1</v>
      </c>
      <c r="AR1117" s="2" t="s">
        <v>1435</v>
      </c>
    </row>
    <row r="1118" spans="1:44" ht="12.75" customHeight="1">
      <c r="A1118" s="4">
        <f>DATE(83,5,14)</f>
        <v>30450</v>
      </c>
      <c r="B1118" s="2" t="s">
        <v>152</v>
      </c>
      <c r="C1118" s="2" t="s">
        <v>183</v>
      </c>
      <c r="E1118" s="18">
        <v>0</v>
      </c>
      <c r="F1118" s="18">
        <v>0</v>
      </c>
      <c r="G1118" s="18">
        <v>2</v>
      </c>
      <c r="H1118" s="18">
        <v>0</v>
      </c>
      <c r="I1118" s="18">
        <v>6</v>
      </c>
      <c r="J1118" s="18">
        <v>2</v>
      </c>
      <c r="K1118" s="18">
        <v>0</v>
      </c>
      <c r="T1118" s="3">
        <v>10</v>
      </c>
      <c r="U1118" s="3">
        <v>8</v>
      </c>
      <c r="V1118" s="3">
        <v>0</v>
      </c>
      <c r="X1118" s="2" t="s">
        <v>1436</v>
      </c>
      <c r="Y1118" s="18">
        <v>0</v>
      </c>
      <c r="Z1118" s="18">
        <v>5</v>
      </c>
      <c r="AA1118" s="18">
        <v>2</v>
      </c>
      <c r="AB1118" s="18">
        <v>2</v>
      </c>
      <c r="AC1118" s="18">
        <v>0</v>
      </c>
      <c r="AD1118" s="18">
        <v>0</v>
      </c>
      <c r="AE1118" s="18">
        <v>2</v>
      </c>
      <c r="AN1118" s="3">
        <v>11</v>
      </c>
      <c r="AO1118" s="3">
        <v>12</v>
      </c>
      <c r="AP1118" s="3">
        <v>4</v>
      </c>
      <c r="AR1118" s="2" t="s">
        <v>1437</v>
      </c>
    </row>
    <row r="1119" spans="1:44" ht="12.75" customHeight="1">
      <c r="A1119" s="4">
        <f>DATE(83,5,18)</f>
        <v>30454</v>
      </c>
      <c r="B1119" s="2" t="s">
        <v>239</v>
      </c>
      <c r="C1119" s="2" t="s">
        <v>183</v>
      </c>
      <c r="D1119" s="2" t="s">
        <v>258</v>
      </c>
      <c r="E1119" s="18">
        <v>0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T1119" s="3">
        <v>0</v>
      </c>
      <c r="U1119" s="3">
        <v>4</v>
      </c>
      <c r="V1119" s="3">
        <v>1</v>
      </c>
      <c r="X1119" s="2" t="s">
        <v>1339</v>
      </c>
      <c r="Y1119" s="18">
        <v>1</v>
      </c>
      <c r="Z1119" s="18">
        <v>0</v>
      </c>
      <c r="AA1119" s="18">
        <v>0</v>
      </c>
      <c r="AB1119" s="18">
        <v>0</v>
      </c>
      <c r="AC1119" s="18">
        <v>3</v>
      </c>
      <c r="AD1119" s="18">
        <v>0</v>
      </c>
      <c r="AE1119" s="18">
        <v>2</v>
      </c>
      <c r="AN1119" s="3">
        <v>6</v>
      </c>
      <c r="AO1119" s="3">
        <v>6</v>
      </c>
      <c r="AP1119" s="3">
        <v>0</v>
      </c>
      <c r="AR1119" s="2" t="s">
        <v>1439</v>
      </c>
    </row>
    <row r="1120" spans="1:44" ht="12.75" customHeight="1">
      <c r="A1120" s="4">
        <f>DATE(84,5,31)</f>
        <v>30833</v>
      </c>
      <c r="B1120" s="2" t="s">
        <v>239</v>
      </c>
      <c r="C1120" s="2" t="s">
        <v>183</v>
      </c>
      <c r="D1120" s="2" t="s">
        <v>258</v>
      </c>
      <c r="E1120" s="18">
        <v>0</v>
      </c>
      <c r="F1120" s="18">
        <v>0</v>
      </c>
      <c r="G1120" s="18">
        <v>0</v>
      </c>
      <c r="H1120" s="18">
        <v>0</v>
      </c>
      <c r="I1120" s="18">
        <v>2</v>
      </c>
      <c r="J1120" s="18">
        <v>0</v>
      </c>
      <c r="K1120" s="18">
        <v>4</v>
      </c>
      <c r="T1120" s="3">
        <v>6</v>
      </c>
      <c r="U1120" s="3">
        <v>9</v>
      </c>
      <c r="V1120" s="3">
        <v>5</v>
      </c>
      <c r="X1120" s="2" t="s">
        <v>1476</v>
      </c>
      <c r="Y1120" s="18">
        <v>0</v>
      </c>
      <c r="Z1120" s="18">
        <v>0</v>
      </c>
      <c r="AA1120" s="18">
        <v>3</v>
      </c>
      <c r="AB1120" s="18">
        <v>0</v>
      </c>
      <c r="AC1120" s="18">
        <v>0</v>
      </c>
      <c r="AD1120" s="18">
        <v>4</v>
      </c>
      <c r="AE1120" s="18">
        <v>0</v>
      </c>
      <c r="AN1120" s="3">
        <v>7</v>
      </c>
      <c r="AO1120" s="3">
        <v>3</v>
      </c>
      <c r="AP1120" s="3">
        <v>2</v>
      </c>
      <c r="AR1120" s="2" t="s">
        <v>1477</v>
      </c>
    </row>
    <row r="1121" spans="1:44" ht="12.75" customHeight="1">
      <c r="A1121" s="4">
        <f>DATE(85,5,5)</f>
        <v>31172</v>
      </c>
      <c r="B1121" s="2" t="s">
        <v>152</v>
      </c>
      <c r="C1121" s="2" t="s">
        <v>183</v>
      </c>
      <c r="E1121" s="18">
        <v>3</v>
      </c>
      <c r="F1121" s="18">
        <v>0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T1121" s="3">
        <v>3</v>
      </c>
      <c r="U1121" s="3">
        <v>6</v>
      </c>
      <c r="V1121" s="3">
        <v>2</v>
      </c>
      <c r="X1121" s="2" t="s">
        <v>1450</v>
      </c>
      <c r="Y1121" s="18">
        <v>1</v>
      </c>
      <c r="Z1121" s="18">
        <v>0</v>
      </c>
      <c r="AA1121" s="18">
        <v>1</v>
      </c>
      <c r="AB1121" s="18">
        <v>0</v>
      </c>
      <c r="AC1121" s="18">
        <v>0</v>
      </c>
      <c r="AD1121" s="18">
        <v>0</v>
      </c>
      <c r="AE1121" s="18">
        <v>0</v>
      </c>
      <c r="AN1121" s="3">
        <v>2</v>
      </c>
      <c r="AO1121" s="3">
        <v>6</v>
      </c>
      <c r="AP1121" s="3">
        <v>2</v>
      </c>
      <c r="AR1121" s="2" t="s">
        <v>1505</v>
      </c>
    </row>
    <row r="1122" spans="1:44" ht="12.75" customHeight="1">
      <c r="A1122" s="4">
        <f>DATE(86,5,3)</f>
        <v>31535</v>
      </c>
      <c r="C1122" s="2" t="s">
        <v>183</v>
      </c>
      <c r="E1122" s="18">
        <v>0</v>
      </c>
      <c r="F1122" s="18">
        <v>5</v>
      </c>
      <c r="G1122" s="18">
        <v>0</v>
      </c>
      <c r="H1122" s="18">
        <v>3</v>
      </c>
      <c r="I1122" s="18">
        <v>2</v>
      </c>
      <c r="J1122" s="18">
        <v>2</v>
      </c>
      <c r="K1122" s="18" t="s">
        <v>162</v>
      </c>
      <c r="T1122" s="3">
        <v>12</v>
      </c>
      <c r="U1122" s="3">
        <v>12</v>
      </c>
      <c r="V1122" s="3">
        <v>2</v>
      </c>
      <c r="X1122" s="2" t="s">
        <v>1498</v>
      </c>
      <c r="Y1122" s="18">
        <v>0</v>
      </c>
      <c r="Z1122" s="18">
        <v>0</v>
      </c>
      <c r="AA1122" s="18">
        <v>0</v>
      </c>
      <c r="AB1122" s="18">
        <v>4</v>
      </c>
      <c r="AC1122" s="18">
        <v>1</v>
      </c>
      <c r="AD1122" s="18">
        <v>0</v>
      </c>
      <c r="AE1122" s="18">
        <v>1</v>
      </c>
      <c r="AN1122" s="3">
        <v>6</v>
      </c>
      <c r="AO1122" s="3">
        <v>8</v>
      </c>
      <c r="AP1122" s="3">
        <v>3</v>
      </c>
      <c r="AR1122" s="2" t="s">
        <v>1541</v>
      </c>
    </row>
    <row r="1123" spans="1:44" ht="12.75" customHeight="1">
      <c r="A1123" s="4">
        <f>DATE(86,5,21)</f>
        <v>31553</v>
      </c>
      <c r="C1123" s="2" t="s">
        <v>183</v>
      </c>
      <c r="D1123" s="2" t="s">
        <v>258</v>
      </c>
      <c r="E1123" s="18">
        <v>0</v>
      </c>
      <c r="F1123" s="18">
        <v>9</v>
      </c>
      <c r="G1123" s="18">
        <v>0</v>
      </c>
      <c r="H1123" s="18">
        <v>0</v>
      </c>
      <c r="I1123" s="18">
        <v>0</v>
      </c>
      <c r="J1123" s="18">
        <v>1</v>
      </c>
      <c r="K1123" s="18" t="s">
        <v>162</v>
      </c>
      <c r="T1123" s="3">
        <v>10</v>
      </c>
      <c r="U1123" s="3">
        <v>9</v>
      </c>
      <c r="V1123" s="3">
        <v>3</v>
      </c>
      <c r="X1123" s="2" t="s">
        <v>1516</v>
      </c>
      <c r="Y1123" s="18">
        <v>0</v>
      </c>
      <c r="Z1123" s="18">
        <v>1</v>
      </c>
      <c r="AA1123" s="18">
        <v>5</v>
      </c>
      <c r="AB1123" s="18">
        <v>0</v>
      </c>
      <c r="AC1123" s="18">
        <v>0</v>
      </c>
      <c r="AD1123" s="18">
        <v>0</v>
      </c>
      <c r="AE1123" s="18">
        <v>2</v>
      </c>
      <c r="AN1123" s="3">
        <v>8</v>
      </c>
      <c r="AO1123" s="3">
        <v>10</v>
      </c>
      <c r="AP1123" s="3">
        <v>3</v>
      </c>
      <c r="AR1123" s="2" t="s">
        <v>1547</v>
      </c>
    </row>
    <row r="1124" spans="1:44" ht="12.75" customHeight="1">
      <c r="A1124" s="4">
        <f>DATE(87,5,2)</f>
        <v>31899</v>
      </c>
      <c r="B1124" s="2" t="s">
        <v>152</v>
      </c>
      <c r="C1124" s="2" t="s">
        <v>183</v>
      </c>
      <c r="E1124" s="18">
        <v>1</v>
      </c>
      <c r="F1124" s="18">
        <v>0</v>
      </c>
      <c r="G1124" s="18">
        <v>7</v>
      </c>
      <c r="H1124" s="18">
        <v>0</v>
      </c>
      <c r="I1124" s="18">
        <v>0</v>
      </c>
      <c r="J1124" s="18">
        <v>1</v>
      </c>
      <c r="K1124" s="18">
        <v>0</v>
      </c>
      <c r="T1124" s="3">
        <v>9</v>
      </c>
      <c r="U1124" s="3">
        <v>13</v>
      </c>
      <c r="V1124" s="3">
        <v>0</v>
      </c>
      <c r="X1124" s="2" t="s">
        <v>1556</v>
      </c>
      <c r="Y1124" s="18">
        <v>0</v>
      </c>
      <c r="Z1124" s="18">
        <v>0</v>
      </c>
      <c r="AA1124" s="18">
        <v>0</v>
      </c>
      <c r="AB1124" s="18">
        <v>0</v>
      </c>
      <c r="AC1124" s="18">
        <v>1</v>
      </c>
      <c r="AD1124" s="18">
        <v>0</v>
      </c>
      <c r="AE1124" s="18">
        <v>0</v>
      </c>
      <c r="AN1124" s="3">
        <v>1</v>
      </c>
      <c r="AO1124" s="3">
        <v>7</v>
      </c>
      <c r="AP1124" s="3">
        <v>3</v>
      </c>
      <c r="AR1124" s="2" t="s">
        <v>1580</v>
      </c>
    </row>
    <row r="1125" spans="1:44" ht="12.75" customHeight="1">
      <c r="A1125" s="4">
        <f>DATE(88,5,7)</f>
        <v>32270</v>
      </c>
      <c r="C1125" s="2" t="s">
        <v>183</v>
      </c>
      <c r="E1125" s="18">
        <v>0</v>
      </c>
      <c r="F1125" s="18">
        <v>0</v>
      </c>
      <c r="G1125" s="18">
        <v>2</v>
      </c>
      <c r="H1125" s="18">
        <v>2</v>
      </c>
      <c r="I1125" s="18">
        <v>3</v>
      </c>
      <c r="J1125" s="18">
        <v>0</v>
      </c>
      <c r="K1125" s="18" t="s">
        <v>162</v>
      </c>
      <c r="T1125" s="3">
        <v>7</v>
      </c>
      <c r="U1125" s="3">
        <v>7</v>
      </c>
      <c r="V1125" s="3">
        <v>3</v>
      </c>
      <c r="X1125" s="2" t="s">
        <v>1617</v>
      </c>
      <c r="Y1125" s="18">
        <v>2</v>
      </c>
      <c r="Z1125" s="18">
        <v>0</v>
      </c>
      <c r="AA1125" s="18">
        <v>1</v>
      </c>
      <c r="AB1125" s="18">
        <v>0</v>
      </c>
      <c r="AC1125" s="18">
        <v>1</v>
      </c>
      <c r="AD1125" s="18">
        <v>0</v>
      </c>
      <c r="AE1125" s="18">
        <v>0</v>
      </c>
      <c r="AN1125" s="3">
        <v>4</v>
      </c>
      <c r="AO1125" s="3">
        <v>5</v>
      </c>
      <c r="AP1125" s="3">
        <v>2</v>
      </c>
      <c r="AR1125" s="2" t="s">
        <v>1618</v>
      </c>
    </row>
    <row r="1126" spans="1:44" ht="12.75" customHeight="1">
      <c r="A1126" s="4">
        <f>DATE(89,5,19)</f>
        <v>32647</v>
      </c>
      <c r="B1126" s="2" t="s">
        <v>152</v>
      </c>
      <c r="C1126" s="2" t="s">
        <v>183</v>
      </c>
      <c r="E1126" s="18">
        <v>2</v>
      </c>
      <c r="F1126" s="18">
        <v>3</v>
      </c>
      <c r="G1126" s="18">
        <v>2</v>
      </c>
      <c r="H1126" s="18">
        <v>0</v>
      </c>
      <c r="I1126" s="18">
        <v>0</v>
      </c>
      <c r="J1126" s="18">
        <v>0</v>
      </c>
      <c r="K1126" s="18">
        <v>3</v>
      </c>
      <c r="T1126" s="3">
        <v>10</v>
      </c>
      <c r="U1126" s="3">
        <v>12</v>
      </c>
      <c r="V1126" s="3">
        <v>0</v>
      </c>
      <c r="X1126" s="2" t="s">
        <v>1636</v>
      </c>
      <c r="Y1126" s="18">
        <v>0</v>
      </c>
      <c r="Z1126" s="18">
        <v>0</v>
      </c>
      <c r="AA1126" s="18">
        <v>0</v>
      </c>
      <c r="AB1126" s="18">
        <v>0</v>
      </c>
      <c r="AC1126" s="18">
        <v>1</v>
      </c>
      <c r="AD1126" s="18">
        <v>0</v>
      </c>
      <c r="AE1126" s="18">
        <v>0</v>
      </c>
      <c r="AN1126" s="3">
        <v>1</v>
      </c>
      <c r="AO1126" s="3">
        <v>2</v>
      </c>
      <c r="AP1126" s="3">
        <v>2</v>
      </c>
      <c r="AR1126" s="2" t="s">
        <v>1657</v>
      </c>
    </row>
    <row r="1127" spans="1:44" ht="12.75" customHeight="1">
      <c r="A1127" s="4">
        <f>DATE(90,5,5)</f>
        <v>32998</v>
      </c>
      <c r="C1127" s="2" t="s">
        <v>183</v>
      </c>
      <c r="E1127" s="18">
        <v>0</v>
      </c>
      <c r="F1127" s="18">
        <v>0</v>
      </c>
      <c r="G1127" s="18">
        <v>0</v>
      </c>
      <c r="H1127" s="18">
        <v>1</v>
      </c>
      <c r="I1127" s="18">
        <v>0</v>
      </c>
      <c r="J1127" s="18">
        <v>2</v>
      </c>
      <c r="K1127" s="18" t="s">
        <v>162</v>
      </c>
      <c r="T1127" s="3">
        <v>3</v>
      </c>
      <c r="U1127" s="3">
        <v>5</v>
      </c>
      <c r="V1127" s="3">
        <v>1</v>
      </c>
      <c r="X1127" s="2" t="s">
        <v>1636</v>
      </c>
      <c r="Y1127" s="18">
        <v>2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  <c r="AE1127" s="18">
        <v>0</v>
      </c>
      <c r="AN1127" s="3">
        <v>2</v>
      </c>
      <c r="AO1127" s="3">
        <v>5</v>
      </c>
      <c r="AP1127" s="3">
        <v>2</v>
      </c>
      <c r="AR1127" s="2" t="s">
        <v>1702</v>
      </c>
    </row>
    <row r="1128" spans="1:44" ht="12.75" customHeight="1">
      <c r="A1128" s="4">
        <f>DATE(90,5,24)</f>
        <v>33017</v>
      </c>
      <c r="C1128" s="2" t="s">
        <v>183</v>
      </c>
      <c r="D1128" s="2" t="s">
        <v>258</v>
      </c>
      <c r="E1128" s="18">
        <v>0</v>
      </c>
      <c r="F1128" s="18">
        <v>0</v>
      </c>
      <c r="G1128" s="18">
        <v>1</v>
      </c>
      <c r="H1128" s="18">
        <v>0</v>
      </c>
      <c r="I1128" s="18">
        <v>0</v>
      </c>
      <c r="J1128" s="18">
        <v>4</v>
      </c>
      <c r="K1128" s="18" t="s">
        <v>162</v>
      </c>
      <c r="T1128" s="3">
        <v>5</v>
      </c>
      <c r="U1128" s="3">
        <v>10</v>
      </c>
      <c r="V1128" s="3">
        <v>1</v>
      </c>
      <c r="X1128" s="2" t="s">
        <v>1665</v>
      </c>
      <c r="Y1128" s="18">
        <v>1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  <c r="AE1128" s="18">
        <v>2</v>
      </c>
      <c r="AN1128" s="3">
        <v>3</v>
      </c>
      <c r="AO1128" s="3">
        <v>0</v>
      </c>
      <c r="AP1128" s="3">
        <v>0</v>
      </c>
      <c r="AR1128" s="2" t="s">
        <v>1702</v>
      </c>
    </row>
    <row r="1129" spans="1:44" ht="12.75" customHeight="1">
      <c r="A1129" s="4">
        <f>DATE(91,5,4)</f>
        <v>33362</v>
      </c>
      <c r="B1129" s="2" t="s">
        <v>152</v>
      </c>
      <c r="C1129" s="2" t="s">
        <v>183</v>
      </c>
      <c r="E1129" s="18">
        <v>0</v>
      </c>
      <c r="F1129" s="18">
        <v>0</v>
      </c>
      <c r="G1129" s="18">
        <v>3</v>
      </c>
      <c r="H1129" s="18">
        <v>0</v>
      </c>
      <c r="I1129" s="18">
        <v>0</v>
      </c>
      <c r="J1129" s="18">
        <v>0</v>
      </c>
      <c r="K1129" s="18">
        <v>1</v>
      </c>
      <c r="T1129" s="3">
        <v>4</v>
      </c>
      <c r="U1129" s="3">
        <v>6</v>
      </c>
      <c r="V1129" s="3">
        <v>3</v>
      </c>
      <c r="X1129" s="2" t="s">
        <v>1736</v>
      </c>
      <c r="Y1129" s="18">
        <v>1</v>
      </c>
      <c r="Z1129" s="18">
        <v>0</v>
      </c>
      <c r="AA1129" s="18">
        <v>3</v>
      </c>
      <c r="AB1129" s="18">
        <v>0</v>
      </c>
      <c r="AC1129" s="18">
        <v>0</v>
      </c>
      <c r="AD1129" s="18">
        <v>2</v>
      </c>
      <c r="AE1129" s="18" t="s">
        <v>162</v>
      </c>
      <c r="AN1129" s="3">
        <v>6</v>
      </c>
      <c r="AO1129" s="3">
        <v>6</v>
      </c>
      <c r="AP1129" s="3">
        <v>0</v>
      </c>
      <c r="AR1129" s="2" t="s">
        <v>1737</v>
      </c>
    </row>
    <row r="1130" spans="1:44" ht="12.75" customHeight="1">
      <c r="A1130" s="4">
        <f>DATE(92,5,2)</f>
        <v>33726</v>
      </c>
      <c r="C1130" s="2" t="s">
        <v>183</v>
      </c>
      <c r="E1130" s="18">
        <v>0</v>
      </c>
      <c r="F1130" s="18">
        <v>3</v>
      </c>
      <c r="G1130" s="18">
        <v>1</v>
      </c>
      <c r="H1130" s="18">
        <v>1</v>
      </c>
      <c r="I1130" s="18">
        <v>0</v>
      </c>
      <c r="J1130" s="18">
        <v>0</v>
      </c>
      <c r="T1130" s="3">
        <v>5</v>
      </c>
      <c r="U1130" s="3">
        <v>7</v>
      </c>
      <c r="V1130" s="3">
        <v>3</v>
      </c>
      <c r="X1130" s="2" t="s">
        <v>1798</v>
      </c>
      <c r="Y1130" s="18">
        <v>12</v>
      </c>
      <c r="Z1130" s="18">
        <v>1</v>
      </c>
      <c r="AA1130" s="18">
        <v>0</v>
      </c>
      <c r="AB1130" s="18">
        <v>0</v>
      </c>
      <c r="AC1130" s="18">
        <v>0</v>
      </c>
      <c r="AD1130" s="18">
        <v>2</v>
      </c>
      <c r="AN1130" s="3">
        <f aca="true" t="shared" si="37" ref="AN1130:AN1171">SUM(Y1130:AM1130)</f>
        <v>15</v>
      </c>
      <c r="AO1130" s="3">
        <v>14</v>
      </c>
      <c r="AP1130" s="3">
        <v>0</v>
      </c>
      <c r="AR1130" s="2" t="s">
        <v>1798</v>
      </c>
    </row>
    <row r="1131" spans="1:44" ht="12.75" customHeight="1">
      <c r="A1131" s="4">
        <f>DATE(93,5,8)</f>
        <v>34097</v>
      </c>
      <c r="B1131" s="2" t="s">
        <v>152</v>
      </c>
      <c r="C1131" s="2" t="s">
        <v>183</v>
      </c>
      <c r="E1131" s="18">
        <v>1</v>
      </c>
      <c r="F1131" s="18">
        <v>8</v>
      </c>
      <c r="G1131" s="18">
        <v>0</v>
      </c>
      <c r="H1131" s="18">
        <v>1</v>
      </c>
      <c r="I1131" s="18">
        <v>1</v>
      </c>
      <c r="T1131" s="3">
        <f aca="true" t="shared" si="38" ref="T1131:T1171">SUM(E1131:S1131)</f>
        <v>11</v>
      </c>
      <c r="U1131" s="3">
        <v>14</v>
      </c>
      <c r="V1131" s="3">
        <v>0</v>
      </c>
      <c r="X1131" s="2" t="s">
        <v>1833</v>
      </c>
      <c r="Y1131" s="18">
        <v>0</v>
      </c>
      <c r="Z1131" s="18">
        <v>0</v>
      </c>
      <c r="AA1131" s="18">
        <v>0</v>
      </c>
      <c r="AB1131" s="18">
        <v>0</v>
      </c>
      <c r="AC1131" s="18">
        <v>0</v>
      </c>
      <c r="AN1131" s="3">
        <f t="shared" si="37"/>
        <v>0</v>
      </c>
      <c r="AO1131" s="3">
        <v>1</v>
      </c>
      <c r="AP1131" s="3">
        <v>1</v>
      </c>
      <c r="AR1131" s="2" t="s">
        <v>1834</v>
      </c>
    </row>
    <row r="1132" spans="1:44" ht="12.75" customHeight="1">
      <c r="A1132" s="4">
        <f>DATE(93,5,27)</f>
        <v>34116</v>
      </c>
      <c r="B1132" s="2" t="s">
        <v>239</v>
      </c>
      <c r="C1132" s="2" t="s">
        <v>183</v>
      </c>
      <c r="D1132" s="2" t="s">
        <v>258</v>
      </c>
      <c r="E1132" s="18">
        <v>1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T1132" s="3">
        <f t="shared" si="38"/>
        <v>1</v>
      </c>
      <c r="U1132" s="3">
        <v>4</v>
      </c>
      <c r="V1132" s="3">
        <v>3</v>
      </c>
      <c r="X1132" s="2" t="s">
        <v>1799</v>
      </c>
      <c r="Y1132" s="18">
        <v>2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N1132" s="3">
        <f t="shared" si="37"/>
        <v>2</v>
      </c>
      <c r="AO1132" s="3">
        <v>6</v>
      </c>
      <c r="AP1132" s="3">
        <v>0</v>
      </c>
      <c r="AR1132" s="2" t="s">
        <v>1846</v>
      </c>
    </row>
    <row r="1133" spans="1:44" ht="12.75" customHeight="1">
      <c r="A1133" s="4">
        <f>DATE(94,5,16)</f>
        <v>34470</v>
      </c>
      <c r="C1133" s="2" t="s">
        <v>183</v>
      </c>
      <c r="E1133" s="18">
        <v>1</v>
      </c>
      <c r="F1133" s="18">
        <v>1</v>
      </c>
      <c r="G1133" s="18">
        <v>0</v>
      </c>
      <c r="H1133" s="18">
        <v>0</v>
      </c>
      <c r="I1133" s="18">
        <v>1</v>
      </c>
      <c r="J1133" s="18">
        <v>1</v>
      </c>
      <c r="K1133" s="18">
        <v>0</v>
      </c>
      <c r="L1133" s="18">
        <v>1</v>
      </c>
      <c r="T1133" s="3">
        <f t="shared" si="38"/>
        <v>5</v>
      </c>
      <c r="U1133" s="3">
        <v>6</v>
      </c>
      <c r="V1133" s="3">
        <v>2</v>
      </c>
      <c r="X1133" s="2" t="s">
        <v>1872</v>
      </c>
      <c r="Y1133" s="18">
        <v>0</v>
      </c>
      <c r="Z1133" s="18">
        <v>0</v>
      </c>
      <c r="AA1133" s="18">
        <v>1</v>
      </c>
      <c r="AB1133" s="18">
        <v>0</v>
      </c>
      <c r="AC1133" s="18">
        <v>0</v>
      </c>
      <c r="AD1133" s="18">
        <v>0</v>
      </c>
      <c r="AE1133" s="18">
        <v>3</v>
      </c>
      <c r="AF1133" s="18">
        <v>0</v>
      </c>
      <c r="AN1133" s="3">
        <f t="shared" si="37"/>
        <v>4</v>
      </c>
      <c r="AO1133" s="3">
        <v>6</v>
      </c>
      <c r="AP1133" s="3">
        <v>0</v>
      </c>
      <c r="AR1133" s="2" t="s">
        <v>1873</v>
      </c>
    </row>
    <row r="1134" spans="1:44" ht="12.75" customHeight="1">
      <c r="A1134" s="4">
        <f>DATE(95,5,6)</f>
        <v>34825</v>
      </c>
      <c r="B1134" s="2" t="s">
        <v>152</v>
      </c>
      <c r="C1134" s="2" t="s">
        <v>183</v>
      </c>
      <c r="E1134" s="18">
        <v>0</v>
      </c>
      <c r="F1134" s="18">
        <v>1</v>
      </c>
      <c r="G1134" s="18">
        <v>3</v>
      </c>
      <c r="H1134" s="18">
        <v>4</v>
      </c>
      <c r="I1134" s="18">
        <v>0</v>
      </c>
      <c r="J1134" s="18">
        <v>1</v>
      </c>
      <c r="K1134" s="18">
        <v>1</v>
      </c>
      <c r="T1134" s="3">
        <f t="shared" si="38"/>
        <v>10</v>
      </c>
      <c r="U1134" s="3">
        <v>11</v>
      </c>
      <c r="V1134" s="3">
        <v>0</v>
      </c>
      <c r="X1134" s="2" t="s">
        <v>1843</v>
      </c>
      <c r="Y1134" s="18">
        <v>0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N1134" s="3">
        <f t="shared" si="37"/>
        <v>0</v>
      </c>
      <c r="AO1134" s="3">
        <v>1</v>
      </c>
      <c r="AP1134" s="3">
        <v>1</v>
      </c>
      <c r="AR1134" s="2" t="s">
        <v>2406</v>
      </c>
    </row>
    <row r="1135" spans="1:44" ht="12.75" customHeight="1">
      <c r="A1135" s="4">
        <v>35189</v>
      </c>
      <c r="C1135" s="2" t="s">
        <v>183</v>
      </c>
      <c r="E1135" s="18">
        <v>0</v>
      </c>
      <c r="F1135" s="18">
        <v>0</v>
      </c>
      <c r="G1135" s="18">
        <v>0</v>
      </c>
      <c r="H1135" s="18">
        <v>3</v>
      </c>
      <c r="I1135" s="18">
        <v>0</v>
      </c>
      <c r="J1135" s="18">
        <v>2</v>
      </c>
      <c r="K1135" s="18" t="s">
        <v>162</v>
      </c>
      <c r="T1135" s="3">
        <f t="shared" si="38"/>
        <v>5</v>
      </c>
      <c r="U1135" s="3">
        <v>7</v>
      </c>
      <c r="V1135" s="3">
        <v>0</v>
      </c>
      <c r="X1135" s="2" t="s">
        <v>432</v>
      </c>
      <c r="Y1135" s="18">
        <v>0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  <c r="AE1135" s="18">
        <v>1</v>
      </c>
      <c r="AN1135" s="3">
        <f t="shared" si="37"/>
        <v>1</v>
      </c>
      <c r="AO1135" s="3">
        <v>4</v>
      </c>
      <c r="AP1135" s="3">
        <v>0</v>
      </c>
      <c r="AR1135" s="2" t="s">
        <v>1286</v>
      </c>
    </row>
    <row r="1136" spans="1:44" ht="12.75" customHeight="1">
      <c r="A1136" s="4">
        <v>35206</v>
      </c>
      <c r="B1136" s="2" t="s">
        <v>239</v>
      </c>
      <c r="C1136" s="2" t="s">
        <v>183</v>
      </c>
      <c r="D1136" s="2" t="s">
        <v>258</v>
      </c>
      <c r="E1136" s="18">
        <v>0</v>
      </c>
      <c r="F1136" s="18">
        <v>2</v>
      </c>
      <c r="G1136" s="18">
        <v>0</v>
      </c>
      <c r="H1136" s="18">
        <v>2</v>
      </c>
      <c r="I1136" s="18">
        <v>2</v>
      </c>
      <c r="J1136" s="18">
        <v>0</v>
      </c>
      <c r="K1136" s="18">
        <v>0</v>
      </c>
      <c r="T1136" s="3">
        <f t="shared" si="38"/>
        <v>6</v>
      </c>
      <c r="U1136" s="3">
        <v>10</v>
      </c>
      <c r="V1136" s="3">
        <v>4</v>
      </c>
      <c r="X1136" s="2" t="s">
        <v>1271</v>
      </c>
      <c r="Y1136" s="18">
        <v>0</v>
      </c>
      <c r="Z1136" s="18">
        <v>0</v>
      </c>
      <c r="AA1136" s="18">
        <v>9</v>
      </c>
      <c r="AB1136" s="18">
        <v>0</v>
      </c>
      <c r="AC1136" s="18">
        <v>0</v>
      </c>
      <c r="AD1136" s="18">
        <v>0</v>
      </c>
      <c r="AE1136" s="18">
        <v>0</v>
      </c>
      <c r="AN1136" s="3">
        <f t="shared" si="37"/>
        <v>9</v>
      </c>
      <c r="AO1136" s="3">
        <v>8</v>
      </c>
      <c r="AP1136" s="3">
        <v>2</v>
      </c>
      <c r="AR1136" s="2" t="s">
        <v>1290</v>
      </c>
    </row>
    <row r="1137" spans="1:44" ht="12.75" customHeight="1">
      <c r="A1137" s="9">
        <f>DATE(1997,5,2)</f>
        <v>35552</v>
      </c>
      <c r="B1137" s="2" t="s">
        <v>152</v>
      </c>
      <c r="C1137" s="2" t="s">
        <v>183</v>
      </c>
      <c r="E1137" s="18">
        <v>1</v>
      </c>
      <c r="F1137" s="18">
        <v>0</v>
      </c>
      <c r="G1137" s="18">
        <v>2</v>
      </c>
      <c r="H1137" s="18">
        <v>0</v>
      </c>
      <c r="I1137" s="18">
        <v>3</v>
      </c>
      <c r="J1137" s="18">
        <v>1</v>
      </c>
      <c r="K1137" s="18">
        <v>0</v>
      </c>
      <c r="T1137" s="3">
        <f t="shared" si="38"/>
        <v>7</v>
      </c>
      <c r="U1137" s="3">
        <v>13</v>
      </c>
      <c r="V1137" s="3">
        <v>5</v>
      </c>
      <c r="X1137" s="2" t="s">
        <v>432</v>
      </c>
      <c r="Y1137" s="18">
        <v>0</v>
      </c>
      <c r="Z1137" s="18">
        <v>0</v>
      </c>
      <c r="AA1137" s="18">
        <v>1</v>
      </c>
      <c r="AB1137" s="18">
        <v>0</v>
      </c>
      <c r="AC1137" s="18">
        <v>2</v>
      </c>
      <c r="AD1137" s="18">
        <v>3</v>
      </c>
      <c r="AE1137" s="18">
        <v>0</v>
      </c>
      <c r="AN1137" s="3">
        <f t="shared" si="37"/>
        <v>6</v>
      </c>
      <c r="AO1137" s="3">
        <v>7</v>
      </c>
      <c r="AP1137" s="3">
        <v>4</v>
      </c>
      <c r="AR1137" s="2" t="s">
        <v>452</v>
      </c>
    </row>
    <row r="1138" spans="1:44" ht="12.75" customHeight="1">
      <c r="A1138" s="4">
        <f>DATE(1997,5,20)</f>
        <v>35570</v>
      </c>
      <c r="C1138" s="2" t="s">
        <v>183</v>
      </c>
      <c r="D1138" s="2" t="s">
        <v>258</v>
      </c>
      <c r="E1138" s="18">
        <v>2</v>
      </c>
      <c r="F1138" s="18">
        <v>2</v>
      </c>
      <c r="G1138" s="18">
        <v>0</v>
      </c>
      <c r="H1138" s="18">
        <v>4</v>
      </c>
      <c r="I1138" s="18">
        <v>0</v>
      </c>
      <c r="J1138" s="18">
        <v>0</v>
      </c>
      <c r="K1138" s="18" t="s">
        <v>162</v>
      </c>
      <c r="T1138" s="3">
        <f t="shared" si="38"/>
        <v>8</v>
      </c>
      <c r="U1138" s="3">
        <v>14</v>
      </c>
      <c r="V1138" s="3">
        <v>0</v>
      </c>
      <c r="X1138" s="2" t="s">
        <v>434</v>
      </c>
      <c r="Y1138" s="18">
        <v>0</v>
      </c>
      <c r="Z1138" s="18">
        <v>0</v>
      </c>
      <c r="AA1138" s="18">
        <v>0</v>
      </c>
      <c r="AB1138" s="18">
        <v>1</v>
      </c>
      <c r="AC1138" s="18">
        <v>1</v>
      </c>
      <c r="AD1138" s="18">
        <v>0</v>
      </c>
      <c r="AE1138" s="18">
        <v>0</v>
      </c>
      <c r="AN1138" s="3">
        <f t="shared" si="37"/>
        <v>2</v>
      </c>
      <c r="AO1138" s="3">
        <v>5</v>
      </c>
      <c r="AP1138" s="3">
        <v>1</v>
      </c>
      <c r="AR1138" s="2" t="s">
        <v>457</v>
      </c>
    </row>
    <row r="1139" spans="1:44" ht="12.75" customHeight="1">
      <c r="A1139" s="4">
        <v>35910</v>
      </c>
      <c r="C1139" s="2" t="s">
        <v>183</v>
      </c>
      <c r="E1139" s="18">
        <v>2</v>
      </c>
      <c r="F1139" s="18">
        <v>2</v>
      </c>
      <c r="G1139" s="18">
        <v>0</v>
      </c>
      <c r="H1139" s="18">
        <v>0</v>
      </c>
      <c r="I1139" s="18">
        <v>8</v>
      </c>
      <c r="T1139" s="3">
        <f t="shared" si="38"/>
        <v>12</v>
      </c>
      <c r="U1139" s="3">
        <v>7</v>
      </c>
      <c r="V1139" s="3">
        <v>0</v>
      </c>
      <c r="X1139" s="2" t="s">
        <v>506</v>
      </c>
      <c r="Y1139" s="18">
        <v>0</v>
      </c>
      <c r="Z1139" s="18">
        <v>0</v>
      </c>
      <c r="AA1139" s="18">
        <v>0</v>
      </c>
      <c r="AB1139" s="18">
        <v>1</v>
      </c>
      <c r="AC1139" s="18">
        <v>0</v>
      </c>
      <c r="AN1139" s="3">
        <f t="shared" si="37"/>
        <v>1</v>
      </c>
      <c r="AO1139" s="3">
        <v>6</v>
      </c>
      <c r="AP1139" s="3">
        <v>1</v>
      </c>
      <c r="AR1139" s="2" t="s">
        <v>2006</v>
      </c>
    </row>
    <row r="1140" spans="1:44" ht="12.75" customHeight="1">
      <c r="A1140" s="4">
        <v>35934</v>
      </c>
      <c r="C1140" s="2" t="s">
        <v>183</v>
      </c>
      <c r="D1140" s="2" t="s">
        <v>258</v>
      </c>
      <c r="E1140" s="18">
        <v>1</v>
      </c>
      <c r="F1140" s="18">
        <v>0</v>
      </c>
      <c r="G1140" s="18">
        <v>2</v>
      </c>
      <c r="H1140" s="18">
        <v>0</v>
      </c>
      <c r="I1140" s="18">
        <v>0</v>
      </c>
      <c r="J1140" s="18">
        <v>1</v>
      </c>
      <c r="K1140" s="18">
        <v>0</v>
      </c>
      <c r="T1140" s="3">
        <f t="shared" si="38"/>
        <v>4</v>
      </c>
      <c r="U1140" s="3">
        <v>11</v>
      </c>
      <c r="V1140" s="3">
        <v>1</v>
      </c>
      <c r="X1140" s="2" t="s">
        <v>1913</v>
      </c>
      <c r="Y1140" s="18">
        <v>0</v>
      </c>
      <c r="Z1140" s="18">
        <v>0</v>
      </c>
      <c r="AA1140" s="18">
        <v>0</v>
      </c>
      <c r="AB1140" s="18">
        <v>0</v>
      </c>
      <c r="AC1140" s="18">
        <v>1</v>
      </c>
      <c r="AD1140" s="18">
        <v>2</v>
      </c>
      <c r="AE1140" s="18">
        <v>2</v>
      </c>
      <c r="AN1140" s="3">
        <f t="shared" si="37"/>
        <v>5</v>
      </c>
      <c r="AO1140" s="3">
        <v>7</v>
      </c>
      <c r="AP1140" s="3">
        <v>2</v>
      </c>
      <c r="AR1140" s="2" t="s">
        <v>631</v>
      </c>
    </row>
    <row r="1141" spans="1:44" ht="12.75" customHeight="1">
      <c r="A1141" s="5">
        <v>36283</v>
      </c>
      <c r="B1141" s="2" t="s">
        <v>152</v>
      </c>
      <c r="C1141" s="2" t="s">
        <v>183</v>
      </c>
      <c r="E1141" s="18">
        <v>0</v>
      </c>
      <c r="F1141" s="18">
        <v>2</v>
      </c>
      <c r="G1141" s="18">
        <v>0</v>
      </c>
      <c r="H1141" s="18">
        <v>0</v>
      </c>
      <c r="I1141" s="18">
        <v>4</v>
      </c>
      <c r="J1141" s="18">
        <v>2</v>
      </c>
      <c r="K1141" s="18">
        <v>0</v>
      </c>
      <c r="T1141" s="3">
        <f t="shared" si="38"/>
        <v>8</v>
      </c>
      <c r="U1141" s="3">
        <v>9</v>
      </c>
      <c r="V1141" s="3">
        <v>2</v>
      </c>
      <c r="X1141" s="2" t="s">
        <v>1913</v>
      </c>
      <c r="Y1141" s="18">
        <v>2</v>
      </c>
      <c r="Z1141" s="18">
        <v>0</v>
      </c>
      <c r="AA1141" s="18">
        <v>0</v>
      </c>
      <c r="AB1141" s="18">
        <v>3</v>
      </c>
      <c r="AC1141" s="18">
        <v>0</v>
      </c>
      <c r="AD1141" s="18">
        <v>2</v>
      </c>
      <c r="AE1141" s="18">
        <v>0</v>
      </c>
      <c r="AN1141" s="3">
        <f t="shared" si="37"/>
        <v>7</v>
      </c>
      <c r="AO1141" s="3">
        <v>8</v>
      </c>
      <c r="AP1141" s="3">
        <v>1</v>
      </c>
      <c r="AR1141" s="2" t="s">
        <v>619</v>
      </c>
    </row>
    <row r="1142" spans="1:44" ht="12.75" customHeight="1">
      <c r="A1142" s="5">
        <v>36313</v>
      </c>
      <c r="B1142" s="2" t="s">
        <v>239</v>
      </c>
      <c r="C1142" s="2" t="s">
        <v>183</v>
      </c>
      <c r="D1142" s="2" t="s">
        <v>258</v>
      </c>
      <c r="E1142" s="18">
        <v>1</v>
      </c>
      <c r="F1142" s="18">
        <v>0</v>
      </c>
      <c r="G1142" s="18">
        <v>4</v>
      </c>
      <c r="H1142" s="18">
        <v>0</v>
      </c>
      <c r="I1142" s="18">
        <v>2</v>
      </c>
      <c r="J1142" s="18">
        <v>0</v>
      </c>
      <c r="K1142" s="18">
        <v>2</v>
      </c>
      <c r="T1142" s="3">
        <f t="shared" si="38"/>
        <v>9</v>
      </c>
      <c r="U1142" s="3">
        <v>12</v>
      </c>
      <c r="V1142" s="3">
        <v>0</v>
      </c>
      <c r="X1142" s="2" t="s">
        <v>502</v>
      </c>
      <c r="Y1142" s="18">
        <v>1</v>
      </c>
      <c r="Z1142" s="18">
        <v>0</v>
      </c>
      <c r="AA1142" s="18">
        <v>1</v>
      </c>
      <c r="AB1142" s="18">
        <v>1</v>
      </c>
      <c r="AC1142" s="18">
        <v>2</v>
      </c>
      <c r="AD1142" s="18">
        <v>0</v>
      </c>
      <c r="AE1142" s="18">
        <v>0</v>
      </c>
      <c r="AN1142" s="3">
        <f t="shared" si="37"/>
        <v>5</v>
      </c>
      <c r="AO1142" s="3">
        <v>9</v>
      </c>
      <c r="AP1142" s="3">
        <v>0</v>
      </c>
      <c r="AR1142" s="2" t="s">
        <v>631</v>
      </c>
    </row>
    <row r="1143" spans="1:44" ht="12.75" customHeight="1">
      <c r="A1143" s="4">
        <v>36631</v>
      </c>
      <c r="C1143" s="2" t="s">
        <v>183</v>
      </c>
      <c r="E1143" s="18">
        <v>2</v>
      </c>
      <c r="F1143" s="18">
        <v>5</v>
      </c>
      <c r="G1143" s="18">
        <v>2</v>
      </c>
      <c r="H1143" s="18">
        <v>3</v>
      </c>
      <c r="I1143" s="18" t="s">
        <v>162</v>
      </c>
      <c r="T1143" s="3">
        <f t="shared" si="38"/>
        <v>12</v>
      </c>
      <c r="U1143" s="3">
        <v>13</v>
      </c>
      <c r="V1143" s="3">
        <v>1</v>
      </c>
      <c r="X1143" s="2" t="s">
        <v>1920</v>
      </c>
      <c r="Y1143" s="18">
        <v>0</v>
      </c>
      <c r="Z1143" s="18">
        <v>0</v>
      </c>
      <c r="AA1143" s="18">
        <v>1</v>
      </c>
      <c r="AB1143" s="18">
        <v>0</v>
      </c>
      <c r="AC1143" s="18">
        <v>0</v>
      </c>
      <c r="AN1143" s="3">
        <f t="shared" si="37"/>
        <v>1</v>
      </c>
      <c r="AO1143" s="3">
        <v>4</v>
      </c>
      <c r="AP1143" s="3">
        <v>3</v>
      </c>
      <c r="AR1143" s="2" t="s">
        <v>1921</v>
      </c>
    </row>
    <row r="1144" spans="1:44" ht="12.75" customHeight="1">
      <c r="A1144" s="4">
        <v>36671</v>
      </c>
      <c r="C1144" s="2" t="s">
        <v>183</v>
      </c>
      <c r="D1144" s="2" t="s">
        <v>258</v>
      </c>
      <c r="E1144" s="18">
        <v>0</v>
      </c>
      <c r="F1144" s="18">
        <v>0</v>
      </c>
      <c r="G1144" s="18">
        <v>1</v>
      </c>
      <c r="H1144" s="18">
        <v>0</v>
      </c>
      <c r="I1144" s="18">
        <v>0</v>
      </c>
      <c r="J1144" s="18">
        <v>3</v>
      </c>
      <c r="K1144" s="18">
        <v>0</v>
      </c>
      <c r="T1144" s="3">
        <f t="shared" si="38"/>
        <v>4</v>
      </c>
      <c r="U1144" s="3">
        <v>6</v>
      </c>
      <c r="V1144" s="3">
        <v>3</v>
      </c>
      <c r="X1144" s="2" t="s">
        <v>24</v>
      </c>
      <c r="Y1144" s="18">
        <v>1</v>
      </c>
      <c r="Z1144" s="18">
        <v>0</v>
      </c>
      <c r="AA1144" s="18">
        <v>5</v>
      </c>
      <c r="AB1144" s="18">
        <v>0</v>
      </c>
      <c r="AC1144" s="18">
        <v>0</v>
      </c>
      <c r="AD1144" s="18">
        <v>0</v>
      </c>
      <c r="AE1144" s="18">
        <v>0</v>
      </c>
      <c r="AN1144" s="3">
        <f t="shared" si="37"/>
        <v>6</v>
      </c>
      <c r="AO1144" s="3">
        <v>7</v>
      </c>
      <c r="AP1144" s="3">
        <v>2</v>
      </c>
      <c r="AR1144" s="2" t="s">
        <v>2392</v>
      </c>
    </row>
    <row r="1145" spans="1:44" ht="12.75" customHeight="1">
      <c r="A1145" s="5">
        <v>36995</v>
      </c>
      <c r="B1145" s="2" t="s">
        <v>152</v>
      </c>
      <c r="C1145" s="2" t="s">
        <v>183</v>
      </c>
      <c r="E1145" s="18">
        <v>0</v>
      </c>
      <c r="F1145" s="18">
        <v>4</v>
      </c>
      <c r="G1145" s="18">
        <v>1</v>
      </c>
      <c r="H1145" s="18">
        <v>3</v>
      </c>
      <c r="I1145" s="18">
        <v>4</v>
      </c>
      <c r="J1145" s="18">
        <v>1</v>
      </c>
      <c r="K1145" s="18">
        <v>4</v>
      </c>
      <c r="T1145" s="3">
        <f t="shared" si="38"/>
        <v>17</v>
      </c>
      <c r="U1145" s="3">
        <v>13</v>
      </c>
      <c r="V1145" s="3">
        <v>6</v>
      </c>
      <c r="X1145" s="2" t="s">
        <v>103</v>
      </c>
      <c r="Y1145" s="18">
        <v>1</v>
      </c>
      <c r="Z1145" s="18">
        <v>2</v>
      </c>
      <c r="AA1145" s="18">
        <v>1</v>
      </c>
      <c r="AB1145" s="18">
        <v>1</v>
      </c>
      <c r="AC1145" s="18">
        <v>0</v>
      </c>
      <c r="AD1145" s="18">
        <v>0</v>
      </c>
      <c r="AE1145" s="18">
        <v>3</v>
      </c>
      <c r="AN1145" s="3">
        <f t="shared" si="37"/>
        <v>8</v>
      </c>
      <c r="AO1145" s="3">
        <v>9</v>
      </c>
      <c r="AP1145" s="3">
        <v>3</v>
      </c>
      <c r="AR1145" s="2" t="s">
        <v>104</v>
      </c>
    </row>
    <row r="1146" spans="1:44" ht="12.75" customHeight="1">
      <c r="A1146" s="8">
        <v>37364</v>
      </c>
      <c r="C1146" s="2" t="s">
        <v>183</v>
      </c>
      <c r="E1146" s="18">
        <v>2</v>
      </c>
      <c r="F1146" s="18">
        <v>2</v>
      </c>
      <c r="G1146" s="18">
        <v>1</v>
      </c>
      <c r="H1146" s="18">
        <v>0</v>
      </c>
      <c r="I1146" s="18">
        <v>1</v>
      </c>
      <c r="J1146" s="18">
        <v>0</v>
      </c>
      <c r="K1146" s="18" t="s">
        <v>162</v>
      </c>
      <c r="T1146" s="3">
        <f t="shared" si="38"/>
        <v>6</v>
      </c>
      <c r="U1146" s="3">
        <v>8</v>
      </c>
      <c r="V1146" s="3">
        <v>0</v>
      </c>
      <c r="X1146" s="2" t="s">
        <v>1108</v>
      </c>
      <c r="Y1146" s="18">
        <v>0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  <c r="AE1146" s="18">
        <v>0</v>
      </c>
      <c r="AN1146" s="3">
        <f t="shared" si="37"/>
        <v>0</v>
      </c>
      <c r="AO1146" s="3">
        <v>4</v>
      </c>
      <c r="AP1146" s="3">
        <v>2</v>
      </c>
      <c r="AR1146" s="2" t="s">
        <v>1113</v>
      </c>
    </row>
    <row r="1147" spans="1:44" ht="12.75" customHeight="1">
      <c r="A1147" s="8">
        <v>37398</v>
      </c>
      <c r="C1147" s="2" t="s">
        <v>183</v>
      </c>
      <c r="D1147" s="2" t="s">
        <v>258</v>
      </c>
      <c r="E1147" s="18">
        <v>0</v>
      </c>
      <c r="F1147" s="18">
        <v>0</v>
      </c>
      <c r="G1147" s="18">
        <v>0</v>
      </c>
      <c r="H1147" s="18">
        <v>0</v>
      </c>
      <c r="I1147" s="18">
        <v>3</v>
      </c>
      <c r="J1147" s="18">
        <v>0</v>
      </c>
      <c r="K1147" s="18">
        <v>0</v>
      </c>
      <c r="T1147" s="3">
        <f t="shared" si="38"/>
        <v>3</v>
      </c>
      <c r="U1147" s="3">
        <v>7</v>
      </c>
      <c r="V1147" s="3">
        <v>1</v>
      </c>
      <c r="X1147" s="2" t="s">
        <v>120</v>
      </c>
      <c r="Y1147" s="18">
        <v>0</v>
      </c>
      <c r="Z1147" s="18">
        <v>0</v>
      </c>
      <c r="AA1147" s="18">
        <v>1</v>
      </c>
      <c r="AB1147" s="18">
        <v>1</v>
      </c>
      <c r="AC1147" s="18">
        <v>0</v>
      </c>
      <c r="AD1147" s="18">
        <v>0</v>
      </c>
      <c r="AE1147" s="18">
        <v>2</v>
      </c>
      <c r="AN1147" s="3">
        <f t="shared" si="37"/>
        <v>4</v>
      </c>
      <c r="AO1147" s="3">
        <v>7</v>
      </c>
      <c r="AP1147" s="3">
        <v>1</v>
      </c>
      <c r="AR1147" s="2" t="s">
        <v>1121</v>
      </c>
    </row>
    <row r="1148" spans="1:44" ht="12.75" customHeight="1">
      <c r="A1148" s="8">
        <v>37723</v>
      </c>
      <c r="B1148" s="2" t="s">
        <v>152</v>
      </c>
      <c r="C1148" s="2" t="s">
        <v>183</v>
      </c>
      <c r="E1148" s="18">
        <v>3</v>
      </c>
      <c r="F1148" s="18">
        <v>0</v>
      </c>
      <c r="G1148" s="18">
        <v>0</v>
      </c>
      <c r="H1148" s="18">
        <v>0</v>
      </c>
      <c r="I1148" s="18">
        <v>7</v>
      </c>
      <c r="J1148" s="18">
        <v>1</v>
      </c>
      <c r="K1148" s="18">
        <v>1</v>
      </c>
      <c r="T1148" s="3">
        <f t="shared" si="38"/>
        <v>12</v>
      </c>
      <c r="U1148" s="3">
        <v>15</v>
      </c>
      <c r="V1148" s="3">
        <v>1</v>
      </c>
      <c r="X1148" s="2" t="s">
        <v>570</v>
      </c>
      <c r="Y1148" s="18">
        <v>0</v>
      </c>
      <c r="Z1148" s="18">
        <v>2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N1148" s="3">
        <f t="shared" si="37"/>
        <v>2</v>
      </c>
      <c r="AO1148" s="3">
        <v>4</v>
      </c>
      <c r="AP1148" s="3">
        <v>1</v>
      </c>
      <c r="AR1148" s="2" t="s">
        <v>571</v>
      </c>
    </row>
    <row r="1149" spans="1:44" ht="12.75" customHeight="1">
      <c r="A1149" s="5">
        <v>38096</v>
      </c>
      <c r="B1149" s="2" t="s">
        <v>152</v>
      </c>
      <c r="C1149" s="2" t="s">
        <v>183</v>
      </c>
      <c r="E1149" s="18">
        <v>1</v>
      </c>
      <c r="F1149" s="18">
        <v>0</v>
      </c>
      <c r="G1149" s="18">
        <v>0</v>
      </c>
      <c r="H1149" s="18">
        <v>3</v>
      </c>
      <c r="I1149" s="18">
        <v>3</v>
      </c>
      <c r="J1149" s="18">
        <v>0</v>
      </c>
      <c r="K1149" s="18">
        <v>1</v>
      </c>
      <c r="T1149" s="3">
        <f t="shared" si="38"/>
        <v>8</v>
      </c>
      <c r="U1149" s="3">
        <v>15</v>
      </c>
      <c r="V1149" s="3">
        <v>3</v>
      </c>
      <c r="X1149" s="2" t="s">
        <v>517</v>
      </c>
      <c r="Y1149" s="18">
        <v>2</v>
      </c>
      <c r="Z1149" s="18">
        <v>2</v>
      </c>
      <c r="AA1149" s="18">
        <v>1</v>
      </c>
      <c r="AB1149" s="18">
        <v>2</v>
      </c>
      <c r="AC1149" s="18">
        <v>4</v>
      </c>
      <c r="AD1149" s="18">
        <v>4</v>
      </c>
      <c r="AE1149" s="18" t="s">
        <v>162</v>
      </c>
      <c r="AN1149" s="3">
        <f t="shared" si="37"/>
        <v>15</v>
      </c>
      <c r="AO1149" s="3">
        <v>14</v>
      </c>
      <c r="AP1149" s="3">
        <v>1</v>
      </c>
      <c r="AR1149" s="2" t="s">
        <v>518</v>
      </c>
    </row>
    <row r="1150" spans="1:44" ht="12.75" customHeight="1">
      <c r="A1150" s="5">
        <f>DATE(2005,4,14)</f>
        <v>38456</v>
      </c>
      <c r="C1150" s="2" t="s">
        <v>183</v>
      </c>
      <c r="E1150" s="18">
        <v>0</v>
      </c>
      <c r="F1150" s="18">
        <v>0</v>
      </c>
      <c r="G1150" s="18">
        <v>0</v>
      </c>
      <c r="H1150" s="18">
        <v>1</v>
      </c>
      <c r="I1150" s="18">
        <v>0</v>
      </c>
      <c r="J1150" s="18">
        <v>0</v>
      </c>
      <c r="K1150" s="18">
        <v>0</v>
      </c>
      <c r="T1150" s="3">
        <f t="shared" si="38"/>
        <v>1</v>
      </c>
      <c r="U1150" s="3">
        <v>7</v>
      </c>
      <c r="V1150" s="3">
        <v>4</v>
      </c>
      <c r="X1150" s="2" t="s">
        <v>473</v>
      </c>
      <c r="Y1150" s="18">
        <v>3</v>
      </c>
      <c r="Z1150" s="18">
        <v>1</v>
      </c>
      <c r="AA1150" s="18">
        <v>1</v>
      </c>
      <c r="AB1150" s="18">
        <v>1</v>
      </c>
      <c r="AC1150" s="18">
        <v>0</v>
      </c>
      <c r="AD1150" s="18">
        <v>2</v>
      </c>
      <c r="AE1150" s="18">
        <v>2</v>
      </c>
      <c r="AN1150" s="3">
        <f t="shared" si="37"/>
        <v>10</v>
      </c>
      <c r="AO1150" s="3">
        <v>10</v>
      </c>
      <c r="AP1150" s="3">
        <v>4</v>
      </c>
      <c r="AR1150" s="2" t="s">
        <v>518</v>
      </c>
    </row>
    <row r="1151" spans="1:44" ht="12.75" customHeight="1">
      <c r="A1151" s="5">
        <v>38825</v>
      </c>
      <c r="B1151" s="2" t="s">
        <v>152</v>
      </c>
      <c r="C1151" s="2" t="s">
        <v>183</v>
      </c>
      <c r="E1151" s="18">
        <v>0</v>
      </c>
      <c r="F1151" s="18">
        <v>0</v>
      </c>
      <c r="G1151" s="18">
        <v>1</v>
      </c>
      <c r="H1151" s="18">
        <v>1</v>
      </c>
      <c r="I1151" s="18">
        <v>1</v>
      </c>
      <c r="J1151" s="18">
        <v>0</v>
      </c>
      <c r="K1151" s="18">
        <v>3</v>
      </c>
      <c r="T1151" s="3">
        <f t="shared" si="38"/>
        <v>6</v>
      </c>
      <c r="U1151" s="3">
        <v>6</v>
      </c>
      <c r="V1151" s="3">
        <v>1</v>
      </c>
      <c r="X1151" s="2" t="s">
        <v>212</v>
      </c>
      <c r="Y1151" s="18">
        <v>0</v>
      </c>
      <c r="Z1151" s="18">
        <v>2</v>
      </c>
      <c r="AA1151" s="18">
        <v>0</v>
      </c>
      <c r="AB1151" s="18">
        <v>0</v>
      </c>
      <c r="AC1151" s="18">
        <v>0</v>
      </c>
      <c r="AD1151" s="18">
        <v>0</v>
      </c>
      <c r="AE1151" s="18">
        <v>0</v>
      </c>
      <c r="AN1151" s="3">
        <f t="shared" si="37"/>
        <v>2</v>
      </c>
      <c r="AO1151" s="3">
        <v>6</v>
      </c>
      <c r="AP1151" s="3">
        <v>1</v>
      </c>
      <c r="AR1151" s="2" t="s">
        <v>217</v>
      </c>
    </row>
    <row r="1152" spans="1:44" ht="12.75" customHeight="1">
      <c r="A1152" s="5">
        <v>38868</v>
      </c>
      <c r="B1152" s="2" t="s">
        <v>239</v>
      </c>
      <c r="C1152" s="2" t="s">
        <v>183</v>
      </c>
      <c r="D1152" s="2" t="s">
        <v>258</v>
      </c>
      <c r="E1152" s="18">
        <v>0</v>
      </c>
      <c r="F1152" s="18">
        <v>0</v>
      </c>
      <c r="G1152" s="18">
        <v>0</v>
      </c>
      <c r="H1152" s="18">
        <v>2</v>
      </c>
      <c r="I1152" s="18">
        <v>0</v>
      </c>
      <c r="J1152" s="18">
        <v>0</v>
      </c>
      <c r="K1152" s="18">
        <v>0</v>
      </c>
      <c r="T1152" s="3">
        <f t="shared" si="38"/>
        <v>2</v>
      </c>
      <c r="U1152" s="3">
        <v>6</v>
      </c>
      <c r="V1152" s="3">
        <v>1</v>
      </c>
      <c r="X1152" s="2" t="s">
        <v>1683</v>
      </c>
      <c r="Y1152" s="18">
        <v>1</v>
      </c>
      <c r="Z1152" s="18">
        <v>1</v>
      </c>
      <c r="AA1152" s="18">
        <v>0</v>
      </c>
      <c r="AB1152" s="18">
        <v>0</v>
      </c>
      <c r="AC1152" s="18">
        <v>3</v>
      </c>
      <c r="AD1152" s="18">
        <v>0</v>
      </c>
      <c r="AE1152" s="18" t="s">
        <v>162</v>
      </c>
      <c r="AN1152" s="3">
        <f t="shared" si="37"/>
        <v>5</v>
      </c>
      <c r="AO1152" s="3">
        <v>8</v>
      </c>
      <c r="AP1152" s="3">
        <v>2</v>
      </c>
      <c r="AR1152" s="2" t="s">
        <v>480</v>
      </c>
    </row>
    <row r="1153" spans="1:44" ht="12.75" customHeight="1">
      <c r="A1153" s="5">
        <v>39183</v>
      </c>
      <c r="C1153" s="2" t="s">
        <v>183</v>
      </c>
      <c r="E1153" s="18">
        <v>0</v>
      </c>
      <c r="F1153" s="18">
        <v>0</v>
      </c>
      <c r="G1153" s="18">
        <v>1</v>
      </c>
      <c r="H1153" s="18">
        <v>0</v>
      </c>
      <c r="I1153" s="18">
        <v>0</v>
      </c>
      <c r="T1153" s="3">
        <f t="shared" si="38"/>
        <v>1</v>
      </c>
      <c r="U1153" s="3">
        <v>2</v>
      </c>
      <c r="V1153" s="3">
        <v>3</v>
      </c>
      <c r="X1153" s="2" t="s">
        <v>468</v>
      </c>
      <c r="Y1153" s="18">
        <v>0</v>
      </c>
      <c r="Z1153" s="18">
        <v>0</v>
      </c>
      <c r="AA1153" s="18">
        <v>4</v>
      </c>
      <c r="AB1153" s="18">
        <v>0</v>
      </c>
      <c r="AC1153" s="18">
        <v>6</v>
      </c>
      <c r="AN1153" s="3">
        <f t="shared" si="37"/>
        <v>10</v>
      </c>
      <c r="AO1153" s="3">
        <v>6</v>
      </c>
      <c r="AP1153" s="3">
        <v>2</v>
      </c>
      <c r="AR1153" s="2" t="s">
        <v>493</v>
      </c>
    </row>
    <row r="1154" spans="1:44" ht="12.75" customHeight="1">
      <c r="A1154" s="5">
        <v>39232</v>
      </c>
      <c r="B1154" s="2" t="s">
        <v>239</v>
      </c>
      <c r="C1154" s="2" t="s">
        <v>183</v>
      </c>
      <c r="D1154" s="2" t="s">
        <v>258</v>
      </c>
      <c r="E1154" s="18">
        <v>0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T1154" s="3">
        <f t="shared" si="38"/>
        <v>0</v>
      </c>
      <c r="U1154" s="3">
        <v>0</v>
      </c>
      <c r="V1154" s="3">
        <v>1</v>
      </c>
      <c r="X1154" s="2" t="s">
        <v>472</v>
      </c>
      <c r="Y1154" s="18">
        <v>2</v>
      </c>
      <c r="Z1154" s="18">
        <v>1</v>
      </c>
      <c r="AA1154" s="18">
        <v>0</v>
      </c>
      <c r="AB1154" s="18">
        <v>0</v>
      </c>
      <c r="AC1154" s="18">
        <v>0</v>
      </c>
      <c r="AD1154" s="18">
        <v>1</v>
      </c>
      <c r="AE1154" s="18" t="s">
        <v>162</v>
      </c>
      <c r="AN1154" s="3">
        <f t="shared" si="37"/>
        <v>4</v>
      </c>
      <c r="AO1154" s="3">
        <v>7</v>
      </c>
      <c r="AP1154" s="3">
        <v>3</v>
      </c>
      <c r="AR1154" s="2" t="s">
        <v>480</v>
      </c>
    </row>
    <row r="1155" spans="1:44" ht="12.75" customHeight="1">
      <c r="A1155" s="5">
        <v>39553</v>
      </c>
      <c r="B1155" s="2" t="s">
        <v>152</v>
      </c>
      <c r="C1155" s="2" t="s">
        <v>183</v>
      </c>
      <c r="E1155" s="18">
        <v>0</v>
      </c>
      <c r="F1155" s="18">
        <v>0</v>
      </c>
      <c r="G1155" s="18">
        <v>0</v>
      </c>
      <c r="H1155" s="18">
        <v>1</v>
      </c>
      <c r="I1155" s="18">
        <v>0</v>
      </c>
      <c r="J1155" s="18">
        <v>0</v>
      </c>
      <c r="K1155" s="18">
        <v>0</v>
      </c>
      <c r="T1155" s="3">
        <f t="shared" si="38"/>
        <v>1</v>
      </c>
      <c r="U1155" s="3">
        <v>1</v>
      </c>
      <c r="V1155" s="3">
        <v>2</v>
      </c>
      <c r="X1155" s="2" t="s">
        <v>94</v>
      </c>
      <c r="Y1155" s="18">
        <v>1</v>
      </c>
      <c r="Z1155" s="18">
        <v>2</v>
      </c>
      <c r="AA1155" s="18">
        <v>0</v>
      </c>
      <c r="AB1155" s="18">
        <v>0</v>
      </c>
      <c r="AC1155" s="18">
        <v>4</v>
      </c>
      <c r="AD1155" s="18">
        <v>0</v>
      </c>
      <c r="AE1155" s="18" t="s">
        <v>162</v>
      </c>
      <c r="AN1155" s="3">
        <f t="shared" si="37"/>
        <v>7</v>
      </c>
      <c r="AO1155" s="3">
        <v>8</v>
      </c>
      <c r="AP1155" s="3">
        <v>2</v>
      </c>
      <c r="AR1155" s="2" t="s">
        <v>93</v>
      </c>
    </row>
    <row r="1156" spans="1:44" ht="12.75" customHeight="1">
      <c r="A1156" s="5">
        <v>39919</v>
      </c>
      <c r="B1156" s="2" t="s">
        <v>152</v>
      </c>
      <c r="C1156" s="2" t="s">
        <v>183</v>
      </c>
      <c r="E1156" s="18">
        <v>0</v>
      </c>
      <c r="F1156" s="18">
        <v>0</v>
      </c>
      <c r="G1156" s="18">
        <v>2</v>
      </c>
      <c r="H1156" s="18">
        <v>0</v>
      </c>
      <c r="I1156" s="18">
        <v>0</v>
      </c>
      <c r="J1156" s="18">
        <v>0</v>
      </c>
      <c r="K1156" s="18">
        <v>2</v>
      </c>
      <c r="L1156" s="18">
        <v>0</v>
      </c>
      <c r="M1156" s="18">
        <v>0</v>
      </c>
      <c r="T1156" s="3">
        <f t="shared" si="38"/>
        <v>4</v>
      </c>
      <c r="U1156" s="3">
        <v>7</v>
      </c>
      <c r="V1156" s="3">
        <v>3</v>
      </c>
      <c r="X1156" s="2" t="s">
        <v>130</v>
      </c>
      <c r="Y1156" s="18">
        <v>1</v>
      </c>
      <c r="Z1156" s="18">
        <v>0</v>
      </c>
      <c r="AA1156" s="18">
        <v>1</v>
      </c>
      <c r="AB1156" s="18">
        <v>1</v>
      </c>
      <c r="AC1156" s="18">
        <v>0</v>
      </c>
      <c r="AD1156" s="18">
        <v>1</v>
      </c>
      <c r="AE1156" s="18">
        <v>0</v>
      </c>
      <c r="AF1156" s="18">
        <v>0</v>
      </c>
      <c r="AG1156" s="18">
        <v>1</v>
      </c>
      <c r="AN1156" s="3">
        <f t="shared" si="37"/>
        <v>5</v>
      </c>
      <c r="AO1156" s="3">
        <v>5</v>
      </c>
      <c r="AP1156" s="3">
        <v>0</v>
      </c>
      <c r="AR1156" s="2" t="s">
        <v>131</v>
      </c>
    </row>
    <row r="1157" spans="1:44" ht="12.75" customHeight="1">
      <c r="A1157" s="5">
        <v>39940</v>
      </c>
      <c r="C1157" s="2" t="s">
        <v>183</v>
      </c>
      <c r="E1157" s="18">
        <v>0</v>
      </c>
      <c r="F1157" s="18">
        <v>6</v>
      </c>
      <c r="G1157" s="18">
        <v>0</v>
      </c>
      <c r="H1157" s="18">
        <v>8</v>
      </c>
      <c r="I1157" s="18">
        <v>0</v>
      </c>
      <c r="J1157" s="18">
        <v>0</v>
      </c>
      <c r="K1157" s="18" t="s">
        <v>162</v>
      </c>
      <c r="T1157" s="3">
        <f t="shared" si="38"/>
        <v>14</v>
      </c>
      <c r="U1157" s="3">
        <v>14</v>
      </c>
      <c r="V1157" s="3">
        <v>1</v>
      </c>
      <c r="X1157" s="2" t="s">
        <v>1472</v>
      </c>
      <c r="Y1157" s="18">
        <v>1</v>
      </c>
      <c r="Z1157" s="18">
        <v>0</v>
      </c>
      <c r="AA1157" s="18">
        <v>4</v>
      </c>
      <c r="AB1157" s="18">
        <v>1</v>
      </c>
      <c r="AC1157" s="18">
        <v>0</v>
      </c>
      <c r="AD1157" s="18">
        <v>3</v>
      </c>
      <c r="AE1157" s="18">
        <v>0</v>
      </c>
      <c r="AN1157" s="3">
        <f t="shared" si="37"/>
        <v>9</v>
      </c>
      <c r="AO1157" s="3">
        <v>8</v>
      </c>
      <c r="AP1157" s="3">
        <v>2</v>
      </c>
      <c r="AR1157" s="2" t="s">
        <v>1473</v>
      </c>
    </row>
    <row r="1158" spans="1:44" ht="12.75" customHeight="1">
      <c r="A1158" s="5">
        <v>39960</v>
      </c>
      <c r="B1158" s="2" t="s">
        <v>239</v>
      </c>
      <c r="C1158" s="2" t="s">
        <v>183</v>
      </c>
      <c r="D1158" s="2" t="s">
        <v>258</v>
      </c>
      <c r="E1158" s="18">
        <v>1</v>
      </c>
      <c r="F1158" s="18">
        <v>0</v>
      </c>
      <c r="G1158" s="18">
        <v>1</v>
      </c>
      <c r="H1158" s="18">
        <v>0</v>
      </c>
      <c r="I1158" s="18">
        <v>1</v>
      </c>
      <c r="J1158" s="18">
        <v>0</v>
      </c>
      <c r="K1158" s="18">
        <v>2</v>
      </c>
      <c r="T1158" s="3">
        <f t="shared" si="38"/>
        <v>5</v>
      </c>
      <c r="U1158" s="3">
        <v>9</v>
      </c>
      <c r="V1158" s="3">
        <v>3</v>
      </c>
      <c r="X1158" s="2" t="s">
        <v>147</v>
      </c>
      <c r="Y1158" s="18">
        <v>1</v>
      </c>
      <c r="Z1158" s="18">
        <v>0</v>
      </c>
      <c r="AA1158" s="18">
        <v>0</v>
      </c>
      <c r="AB1158" s="18">
        <v>4</v>
      </c>
      <c r="AC1158" s="18">
        <v>1</v>
      </c>
      <c r="AD1158" s="18">
        <v>3</v>
      </c>
      <c r="AE1158" s="18" t="s">
        <v>162</v>
      </c>
      <c r="AN1158" s="3">
        <f t="shared" si="37"/>
        <v>9</v>
      </c>
      <c r="AO1158" s="3">
        <v>11</v>
      </c>
      <c r="AP1158" s="3">
        <v>3</v>
      </c>
      <c r="AR1158" s="2" t="s">
        <v>148</v>
      </c>
    </row>
    <row r="1159" spans="1:44" ht="12.75" customHeight="1">
      <c r="A1159" s="5">
        <v>40282</v>
      </c>
      <c r="C1159" s="2" t="s">
        <v>183</v>
      </c>
      <c r="E1159" s="18">
        <v>0</v>
      </c>
      <c r="F1159" s="18">
        <v>4</v>
      </c>
      <c r="G1159" s="18">
        <v>0</v>
      </c>
      <c r="H1159" s="18">
        <v>3</v>
      </c>
      <c r="I1159" s="18">
        <v>0</v>
      </c>
      <c r="J1159" s="18">
        <v>0</v>
      </c>
      <c r="K1159" s="18">
        <v>0</v>
      </c>
      <c r="L1159" s="18">
        <v>1</v>
      </c>
      <c r="M1159" s="18">
        <v>1</v>
      </c>
      <c r="T1159" s="3">
        <f t="shared" si="38"/>
        <v>9</v>
      </c>
      <c r="U1159" s="3">
        <v>15</v>
      </c>
      <c r="V1159" s="3">
        <v>1</v>
      </c>
      <c r="X1159" s="2" t="s">
        <v>767</v>
      </c>
      <c r="Y1159" s="18">
        <v>0</v>
      </c>
      <c r="Z1159" s="18">
        <v>4</v>
      </c>
      <c r="AA1159" s="18">
        <v>0</v>
      </c>
      <c r="AB1159" s="18">
        <v>2</v>
      </c>
      <c r="AC1159" s="18">
        <v>0</v>
      </c>
      <c r="AD1159" s="18">
        <v>1</v>
      </c>
      <c r="AE1159" s="18">
        <v>0</v>
      </c>
      <c r="AF1159" s="18">
        <v>1</v>
      </c>
      <c r="AG1159" s="18">
        <v>0</v>
      </c>
      <c r="AN1159" s="3">
        <f t="shared" si="37"/>
        <v>8</v>
      </c>
      <c r="AO1159" s="3">
        <v>14</v>
      </c>
      <c r="AP1159" s="3">
        <v>1</v>
      </c>
      <c r="AR1159" s="2" t="s">
        <v>768</v>
      </c>
    </row>
    <row r="1160" spans="1:44" ht="12.75" customHeight="1">
      <c r="A1160" s="5">
        <v>40308</v>
      </c>
      <c r="B1160" s="2" t="s">
        <v>152</v>
      </c>
      <c r="C1160" s="2" t="s">
        <v>183</v>
      </c>
      <c r="E1160" s="18">
        <v>0</v>
      </c>
      <c r="F1160" s="18">
        <v>0</v>
      </c>
      <c r="G1160" s="18">
        <v>0</v>
      </c>
      <c r="H1160" s="18">
        <v>1</v>
      </c>
      <c r="I1160" s="18">
        <v>2</v>
      </c>
      <c r="J1160" s="18">
        <v>0</v>
      </c>
      <c r="K1160" s="18">
        <v>0</v>
      </c>
      <c r="T1160" s="3">
        <f t="shared" si="38"/>
        <v>3</v>
      </c>
      <c r="U1160" s="3">
        <v>8</v>
      </c>
      <c r="V1160" s="3">
        <v>2</v>
      </c>
      <c r="X1160" s="2" t="s">
        <v>764</v>
      </c>
      <c r="Y1160" s="18">
        <v>4</v>
      </c>
      <c r="Z1160" s="18">
        <v>2</v>
      </c>
      <c r="AA1160" s="18">
        <v>0</v>
      </c>
      <c r="AB1160" s="18">
        <v>0</v>
      </c>
      <c r="AC1160" s="18">
        <v>0</v>
      </c>
      <c r="AD1160" s="18">
        <v>4</v>
      </c>
      <c r="AE1160" s="18" t="s">
        <v>162</v>
      </c>
      <c r="AN1160" s="3">
        <f t="shared" si="37"/>
        <v>10</v>
      </c>
      <c r="AO1160" s="3">
        <v>13</v>
      </c>
      <c r="AP1160" s="3">
        <v>3</v>
      </c>
      <c r="AR1160" s="2" t="s">
        <v>765</v>
      </c>
    </row>
    <row r="1161" spans="1:44" ht="12.75" customHeight="1">
      <c r="A1161" s="5">
        <v>40324</v>
      </c>
      <c r="C1161" s="2" t="s">
        <v>183</v>
      </c>
      <c r="D1161" s="2" t="s">
        <v>258</v>
      </c>
      <c r="E1161" s="18">
        <v>1</v>
      </c>
      <c r="F1161" s="18">
        <v>2</v>
      </c>
      <c r="G1161" s="18">
        <v>2</v>
      </c>
      <c r="H1161" s="18">
        <v>1</v>
      </c>
      <c r="I1161" s="18">
        <v>1</v>
      </c>
      <c r="J1161" s="18">
        <v>0</v>
      </c>
      <c r="K1161" s="18">
        <v>1</v>
      </c>
      <c r="T1161" s="3">
        <f t="shared" si="38"/>
        <v>8</v>
      </c>
      <c r="U1161" s="3">
        <v>13</v>
      </c>
      <c r="V1161" s="3">
        <v>6</v>
      </c>
      <c r="X1161" s="2" t="s">
        <v>760</v>
      </c>
      <c r="Y1161" s="18">
        <v>5</v>
      </c>
      <c r="Z1161" s="18">
        <v>1</v>
      </c>
      <c r="AA1161" s="18">
        <v>0</v>
      </c>
      <c r="AB1161" s="18">
        <v>5</v>
      </c>
      <c r="AC1161" s="18">
        <v>1</v>
      </c>
      <c r="AD1161" s="18">
        <v>0</v>
      </c>
      <c r="AE1161" s="18">
        <v>0</v>
      </c>
      <c r="AN1161" s="3">
        <f t="shared" si="37"/>
        <v>12</v>
      </c>
      <c r="AO1161" s="3">
        <v>10</v>
      </c>
      <c r="AP1161" s="3">
        <v>0</v>
      </c>
      <c r="AR1161" s="2" t="s">
        <v>1958</v>
      </c>
    </row>
    <row r="1162" spans="1:44" ht="12.75" customHeight="1">
      <c r="A1162" s="5">
        <v>40668</v>
      </c>
      <c r="B1162" s="2" t="s">
        <v>152</v>
      </c>
      <c r="C1162" s="2" t="s">
        <v>183</v>
      </c>
      <c r="E1162" s="18">
        <v>0</v>
      </c>
      <c r="F1162" s="18">
        <v>4</v>
      </c>
      <c r="G1162" s="18">
        <v>0</v>
      </c>
      <c r="H1162" s="18">
        <v>2</v>
      </c>
      <c r="I1162" s="18">
        <v>0</v>
      </c>
      <c r="J1162" s="18">
        <v>0</v>
      </c>
      <c r="K1162" s="18">
        <v>2</v>
      </c>
      <c r="T1162" s="3">
        <f t="shared" si="38"/>
        <v>8</v>
      </c>
      <c r="U1162" s="3">
        <v>8</v>
      </c>
      <c r="V1162" s="3">
        <v>1</v>
      </c>
      <c r="X1162" s="2" t="s">
        <v>1974</v>
      </c>
      <c r="Y1162" s="18">
        <v>5</v>
      </c>
      <c r="Z1162" s="18">
        <v>2</v>
      </c>
      <c r="AA1162" s="18">
        <v>1</v>
      </c>
      <c r="AB1162" s="18">
        <v>3</v>
      </c>
      <c r="AC1162" s="18">
        <v>0</v>
      </c>
      <c r="AD1162" s="18">
        <v>2</v>
      </c>
      <c r="AE1162" s="18" t="s">
        <v>162</v>
      </c>
      <c r="AN1162" s="3">
        <f t="shared" si="37"/>
        <v>13</v>
      </c>
      <c r="AO1162" s="3">
        <v>11</v>
      </c>
      <c r="AP1162" s="3">
        <v>3</v>
      </c>
      <c r="AR1162" s="2" t="s">
        <v>1975</v>
      </c>
    </row>
    <row r="1163" spans="1:44" ht="12.75" customHeight="1">
      <c r="A1163" s="5">
        <v>41001</v>
      </c>
      <c r="B1163" s="2" t="s">
        <v>152</v>
      </c>
      <c r="C1163" s="2" t="s">
        <v>183</v>
      </c>
      <c r="E1163" s="18">
        <v>0</v>
      </c>
      <c r="F1163" s="18">
        <v>0</v>
      </c>
      <c r="G1163" s="18">
        <v>3</v>
      </c>
      <c r="H1163" s="18">
        <v>3</v>
      </c>
      <c r="I1163" s="18">
        <v>0</v>
      </c>
      <c r="J1163" s="18">
        <v>0</v>
      </c>
      <c r="K1163" s="18">
        <v>0</v>
      </c>
      <c r="T1163" s="3">
        <f t="shared" si="38"/>
        <v>6</v>
      </c>
      <c r="U1163" s="3">
        <v>7</v>
      </c>
      <c r="V1163" s="3">
        <v>3</v>
      </c>
      <c r="X1163" s="2" t="s">
        <v>2019</v>
      </c>
      <c r="Y1163" s="18">
        <v>2</v>
      </c>
      <c r="Z1163" s="18">
        <v>2</v>
      </c>
      <c r="AA1163" s="18">
        <v>4</v>
      </c>
      <c r="AB1163" s="18">
        <v>2</v>
      </c>
      <c r="AC1163" s="18">
        <v>0</v>
      </c>
      <c r="AD1163" s="18">
        <v>2</v>
      </c>
      <c r="AE1163" s="18" t="s">
        <v>162</v>
      </c>
      <c r="AN1163" s="3">
        <f t="shared" si="37"/>
        <v>12</v>
      </c>
      <c r="AO1163" s="3">
        <v>12</v>
      </c>
      <c r="AP1163" s="3">
        <v>1</v>
      </c>
      <c r="AR1163" s="2" t="s">
        <v>2024</v>
      </c>
    </row>
    <row r="1164" spans="1:44" ht="12.75" customHeight="1">
      <c r="A1164" s="5">
        <v>41374</v>
      </c>
      <c r="B1164" s="2" t="s">
        <v>152</v>
      </c>
      <c r="C1164" s="2" t="s">
        <v>183</v>
      </c>
      <c r="E1164" s="18">
        <v>0</v>
      </c>
      <c r="F1164" s="18">
        <v>3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T1164" s="3">
        <f t="shared" si="38"/>
        <v>3</v>
      </c>
      <c r="U1164" s="3">
        <v>5</v>
      </c>
      <c r="V1164" s="3">
        <v>3</v>
      </c>
      <c r="X1164" s="2" t="s">
        <v>2106</v>
      </c>
      <c r="Y1164" s="18">
        <v>0</v>
      </c>
      <c r="Z1164" s="18">
        <v>6</v>
      </c>
      <c r="AA1164" s="18">
        <v>0</v>
      </c>
      <c r="AB1164" s="18">
        <v>2</v>
      </c>
      <c r="AC1164" s="18">
        <v>0</v>
      </c>
      <c r="AD1164" s="18">
        <v>0</v>
      </c>
      <c r="AE1164" s="18" t="s">
        <v>162</v>
      </c>
      <c r="AN1164" s="3">
        <f t="shared" si="37"/>
        <v>8</v>
      </c>
      <c r="AO1164" s="3">
        <v>8</v>
      </c>
      <c r="AP1164" s="3">
        <v>3</v>
      </c>
      <c r="AR1164" s="2" t="s">
        <v>2107</v>
      </c>
    </row>
    <row r="1165" spans="1:44" ht="12.75" customHeight="1">
      <c r="A1165" s="5">
        <v>41411</v>
      </c>
      <c r="C1165" s="2" t="s">
        <v>183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9</v>
      </c>
      <c r="K1165" s="18" t="s">
        <v>162</v>
      </c>
      <c r="T1165" s="3">
        <f t="shared" si="38"/>
        <v>9</v>
      </c>
      <c r="U1165" s="3">
        <v>9</v>
      </c>
      <c r="V1165" s="3">
        <v>2</v>
      </c>
      <c r="X1165" s="2" t="s">
        <v>2050</v>
      </c>
      <c r="Y1165" s="18">
        <v>0</v>
      </c>
      <c r="Z1165" s="18">
        <v>0</v>
      </c>
      <c r="AA1165" s="18">
        <v>0</v>
      </c>
      <c r="AB1165" s="18">
        <v>1</v>
      </c>
      <c r="AC1165" s="18">
        <v>0</v>
      </c>
      <c r="AD1165" s="18">
        <v>1</v>
      </c>
      <c r="AE1165" s="18">
        <v>0</v>
      </c>
      <c r="AN1165" s="3">
        <f t="shared" si="37"/>
        <v>2</v>
      </c>
      <c r="AO1165" s="3">
        <v>7</v>
      </c>
      <c r="AP1165" s="3">
        <v>0</v>
      </c>
      <c r="AR1165" s="2" t="s">
        <v>2051</v>
      </c>
    </row>
    <row r="1166" spans="1:44" ht="12.75" customHeight="1">
      <c r="A1166" s="5">
        <v>41761</v>
      </c>
      <c r="B1166" s="2" t="s">
        <v>152</v>
      </c>
      <c r="C1166" s="2" t="s">
        <v>183</v>
      </c>
      <c r="E1166" s="18">
        <v>1</v>
      </c>
      <c r="F1166" s="18">
        <v>2</v>
      </c>
      <c r="G1166" s="18">
        <v>3</v>
      </c>
      <c r="H1166" s="18">
        <v>0</v>
      </c>
      <c r="I1166" s="18">
        <v>0</v>
      </c>
      <c r="J1166" s="18">
        <v>0</v>
      </c>
      <c r="K1166" s="18">
        <v>0</v>
      </c>
      <c r="T1166" s="3">
        <f t="shared" si="38"/>
        <v>6</v>
      </c>
      <c r="U1166" s="3">
        <v>9</v>
      </c>
      <c r="V1166" s="3">
        <v>3</v>
      </c>
      <c r="X1166" s="2" t="s">
        <v>2207</v>
      </c>
      <c r="Y1166" s="18">
        <v>1</v>
      </c>
      <c r="Z1166" s="18">
        <v>0</v>
      </c>
      <c r="AA1166" s="18">
        <v>7</v>
      </c>
      <c r="AB1166" s="18">
        <v>0</v>
      </c>
      <c r="AC1166" s="18">
        <v>2</v>
      </c>
      <c r="AD1166" s="18">
        <v>0</v>
      </c>
      <c r="AE1166" s="18" t="s">
        <v>162</v>
      </c>
      <c r="AN1166" s="3">
        <f t="shared" si="37"/>
        <v>10</v>
      </c>
      <c r="AO1166" s="3">
        <v>10</v>
      </c>
      <c r="AP1166" s="3">
        <v>3</v>
      </c>
      <c r="AR1166" s="2" t="s">
        <v>2208</v>
      </c>
    </row>
    <row r="1167" spans="1:44" ht="12.75" customHeight="1">
      <c r="A1167" s="5">
        <v>42100</v>
      </c>
      <c r="C1167" s="2" t="s">
        <v>183</v>
      </c>
      <c r="E1167" s="18">
        <v>3</v>
      </c>
      <c r="F1167" s="18">
        <v>0</v>
      </c>
      <c r="G1167" s="18">
        <v>1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0</v>
      </c>
      <c r="T1167" s="3">
        <f t="shared" si="38"/>
        <v>4</v>
      </c>
      <c r="U1167" s="3">
        <v>11</v>
      </c>
      <c r="V1167" s="3">
        <v>3</v>
      </c>
      <c r="X1167" s="2" t="s">
        <v>2102</v>
      </c>
      <c r="Y1167" s="18">
        <v>1</v>
      </c>
      <c r="Z1167" s="18">
        <v>0</v>
      </c>
      <c r="AA1167" s="18">
        <v>1</v>
      </c>
      <c r="AB1167" s="18">
        <v>0</v>
      </c>
      <c r="AC1167" s="18">
        <v>2</v>
      </c>
      <c r="AD1167" s="18">
        <v>0</v>
      </c>
      <c r="AE1167" s="18">
        <v>0</v>
      </c>
      <c r="AF1167" s="18">
        <v>0</v>
      </c>
      <c r="AG1167" s="18">
        <v>3</v>
      </c>
      <c r="AN1167" s="3">
        <f t="shared" si="37"/>
        <v>7</v>
      </c>
      <c r="AO1167" s="3">
        <v>12</v>
      </c>
      <c r="AP1167" s="3">
        <v>0</v>
      </c>
      <c r="AR1167" s="2" t="s">
        <v>2118</v>
      </c>
    </row>
    <row r="1168" spans="1:44" ht="12.75" customHeight="1">
      <c r="A1168" s="5">
        <v>42468</v>
      </c>
      <c r="B1168" s="2" t="s">
        <v>152</v>
      </c>
      <c r="C1168" s="2" t="s">
        <v>183</v>
      </c>
      <c r="E1168" s="18">
        <v>0</v>
      </c>
      <c r="F1168" s="18">
        <v>1</v>
      </c>
      <c r="G1168" s="18">
        <v>0</v>
      </c>
      <c r="H1168" s="18">
        <v>0</v>
      </c>
      <c r="I1168" s="18">
        <v>1</v>
      </c>
      <c r="J1168" s="18">
        <v>0</v>
      </c>
      <c r="K1168" s="18">
        <v>2</v>
      </c>
      <c r="T1168" s="3">
        <f t="shared" si="38"/>
        <v>4</v>
      </c>
      <c r="U1168" s="3">
        <v>8</v>
      </c>
      <c r="V1168" s="3">
        <v>4</v>
      </c>
      <c r="X1168" s="2" t="s">
        <v>2146</v>
      </c>
      <c r="Y1168" s="18">
        <v>1</v>
      </c>
      <c r="Z1168" s="18">
        <v>4</v>
      </c>
      <c r="AA1168" s="18">
        <v>1</v>
      </c>
      <c r="AB1168" s="18">
        <v>3</v>
      </c>
      <c r="AC1168" s="18">
        <v>0</v>
      </c>
      <c r="AD1168" s="18">
        <v>0</v>
      </c>
      <c r="AE1168" s="18" t="s">
        <v>162</v>
      </c>
      <c r="AN1168" s="3">
        <f t="shared" si="37"/>
        <v>9</v>
      </c>
      <c r="AO1168" s="3">
        <v>10</v>
      </c>
      <c r="AP1168" s="3">
        <v>1</v>
      </c>
      <c r="AR1168" s="2" t="s">
        <v>2107</v>
      </c>
    </row>
    <row r="1169" spans="1:44" ht="12.75" customHeight="1">
      <c r="A1169" s="5">
        <v>42516</v>
      </c>
      <c r="B1169" s="2" t="s">
        <v>239</v>
      </c>
      <c r="C1169" s="2" t="s">
        <v>183</v>
      </c>
      <c r="D1169" s="2" t="s">
        <v>258</v>
      </c>
      <c r="E1169" s="18">
        <v>0</v>
      </c>
      <c r="F1169" s="18">
        <v>0</v>
      </c>
      <c r="G1169" s="18">
        <v>1</v>
      </c>
      <c r="H1169" s="18">
        <v>0</v>
      </c>
      <c r="I1169" s="18">
        <v>0</v>
      </c>
      <c r="J1169" s="18">
        <v>0</v>
      </c>
      <c r="K1169" s="18">
        <v>0</v>
      </c>
      <c r="T1169" s="3">
        <f t="shared" si="38"/>
        <v>1</v>
      </c>
      <c r="U1169" s="3">
        <v>3</v>
      </c>
      <c r="V1169" s="3">
        <v>2</v>
      </c>
      <c r="X1169" s="2" t="s">
        <v>2167</v>
      </c>
      <c r="Y1169" s="18">
        <v>0</v>
      </c>
      <c r="Z1169" s="18">
        <v>3</v>
      </c>
      <c r="AA1169" s="18">
        <v>2</v>
      </c>
      <c r="AB1169" s="18">
        <v>1</v>
      </c>
      <c r="AC1169" s="18">
        <v>1</v>
      </c>
      <c r="AD1169" s="18">
        <v>1</v>
      </c>
      <c r="AE1169" s="18" t="s">
        <v>162</v>
      </c>
      <c r="AN1169" s="3">
        <f t="shared" si="37"/>
        <v>8</v>
      </c>
      <c r="AO1169" s="3">
        <v>10</v>
      </c>
      <c r="AP1169" s="3">
        <v>2</v>
      </c>
      <c r="AR1169" s="2" t="s">
        <v>2168</v>
      </c>
    </row>
    <row r="1170" spans="1:44" ht="12.75" customHeight="1">
      <c r="A1170" s="5">
        <v>42845</v>
      </c>
      <c r="C1170" s="2" t="s">
        <v>183</v>
      </c>
      <c r="E1170" s="18">
        <v>0</v>
      </c>
      <c r="F1170" s="18">
        <v>0</v>
      </c>
      <c r="G1170" s="18">
        <v>1</v>
      </c>
      <c r="H1170" s="18">
        <v>1</v>
      </c>
      <c r="I1170" s="18">
        <v>0</v>
      </c>
      <c r="J1170" s="18">
        <v>0</v>
      </c>
      <c r="K1170" s="18">
        <v>1</v>
      </c>
      <c r="T1170" s="3">
        <f t="shared" si="38"/>
        <v>3</v>
      </c>
      <c r="U1170" s="3">
        <v>7</v>
      </c>
      <c r="V1170" s="3">
        <v>0</v>
      </c>
      <c r="X1170" s="2" t="s">
        <v>2193</v>
      </c>
      <c r="Y1170" s="18">
        <v>2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  <c r="AE1170" s="18">
        <v>0</v>
      </c>
      <c r="AN1170" s="3">
        <f t="shared" si="37"/>
        <v>2</v>
      </c>
      <c r="AO1170" s="3">
        <v>4</v>
      </c>
      <c r="AP1170" s="3">
        <v>1</v>
      </c>
      <c r="AR1170" s="2" t="s">
        <v>2194</v>
      </c>
    </row>
    <row r="1171" spans="1:44" ht="12.75" customHeight="1">
      <c r="A1171" s="5">
        <v>42879</v>
      </c>
      <c r="C1171" s="2" t="s">
        <v>183</v>
      </c>
      <c r="D1171" s="2" t="s">
        <v>258</v>
      </c>
      <c r="E1171" s="18">
        <v>0</v>
      </c>
      <c r="F1171" s="18">
        <v>0</v>
      </c>
      <c r="G1171" s="18">
        <v>0</v>
      </c>
      <c r="H1171" s="18">
        <v>4</v>
      </c>
      <c r="I1171" s="18">
        <v>0</v>
      </c>
      <c r="J1171" s="18">
        <v>1</v>
      </c>
      <c r="K1171" s="18">
        <v>2</v>
      </c>
      <c r="L1171" s="18">
        <v>0</v>
      </c>
      <c r="M1171" s="18">
        <v>0</v>
      </c>
      <c r="N1171" s="18">
        <v>1</v>
      </c>
      <c r="T1171" s="3">
        <f t="shared" si="38"/>
        <v>8</v>
      </c>
      <c r="U1171" s="3">
        <v>11</v>
      </c>
      <c r="V1171" s="3">
        <v>2</v>
      </c>
      <c r="X1171" s="2" t="s">
        <v>2175</v>
      </c>
      <c r="Y1171" s="18">
        <v>0</v>
      </c>
      <c r="Z1171" s="18">
        <v>0</v>
      </c>
      <c r="AA1171" s="18">
        <v>0</v>
      </c>
      <c r="AB1171" s="18">
        <v>1</v>
      </c>
      <c r="AC1171" s="18">
        <v>3</v>
      </c>
      <c r="AD1171" s="18">
        <v>3</v>
      </c>
      <c r="AE1171" s="18">
        <v>0</v>
      </c>
      <c r="AF1171" s="18">
        <v>0</v>
      </c>
      <c r="AG1171" s="18">
        <v>0</v>
      </c>
      <c r="AH1171" s="18">
        <v>0</v>
      </c>
      <c r="AN1171" s="3">
        <f t="shared" si="37"/>
        <v>7</v>
      </c>
      <c r="AO1171" s="3">
        <v>8</v>
      </c>
      <c r="AP1171" s="3">
        <v>1</v>
      </c>
      <c r="AR1171" s="2" t="s">
        <v>2176</v>
      </c>
    </row>
    <row r="1172" spans="1:44" ht="12.75" customHeight="1">
      <c r="A1172" s="5">
        <v>43242</v>
      </c>
      <c r="B1172" s="2" t="s">
        <v>152</v>
      </c>
      <c r="C1172" s="2" t="s">
        <v>183</v>
      </c>
      <c r="E1172" s="18">
        <v>4</v>
      </c>
      <c r="F1172" s="18">
        <v>2</v>
      </c>
      <c r="G1172" s="18">
        <v>0</v>
      </c>
      <c r="H1172" s="18">
        <v>0</v>
      </c>
      <c r="I1172" s="18">
        <v>0</v>
      </c>
      <c r="J1172" s="18">
        <v>3</v>
      </c>
      <c r="K1172" s="18">
        <v>1</v>
      </c>
      <c r="T1172" s="3">
        <f>SUM(E1172:S1172)</f>
        <v>10</v>
      </c>
      <c r="U1172" s="3">
        <v>7</v>
      </c>
      <c r="V1172" s="3">
        <v>2</v>
      </c>
      <c r="X1172" s="2" t="s">
        <v>2249</v>
      </c>
      <c r="Y1172" s="18">
        <v>2</v>
      </c>
      <c r="Z1172" s="18">
        <v>0</v>
      </c>
      <c r="AA1172" s="18">
        <v>0</v>
      </c>
      <c r="AB1172" s="18">
        <v>1</v>
      </c>
      <c r="AC1172" s="18">
        <v>0</v>
      </c>
      <c r="AD1172" s="18">
        <v>1</v>
      </c>
      <c r="AE1172" s="18">
        <v>0</v>
      </c>
      <c r="AN1172" s="3">
        <f>SUM(Y1172:AM1172)</f>
        <v>4</v>
      </c>
      <c r="AO1172" s="3">
        <v>7</v>
      </c>
      <c r="AP1172" s="3">
        <v>5</v>
      </c>
      <c r="AR1172" s="2" t="s">
        <v>2323</v>
      </c>
    </row>
    <row r="1173" spans="1:44" ht="12.75" customHeight="1">
      <c r="A1173" s="5">
        <v>43243</v>
      </c>
      <c r="B1173" s="2" t="s">
        <v>152</v>
      </c>
      <c r="C1173" s="2" t="s">
        <v>183</v>
      </c>
      <c r="D1173" s="2" t="s">
        <v>258</v>
      </c>
      <c r="E1173" s="18">
        <v>0</v>
      </c>
      <c r="F1173" s="18">
        <v>0</v>
      </c>
      <c r="G1173" s="18">
        <v>5</v>
      </c>
      <c r="H1173" s="18">
        <v>3</v>
      </c>
      <c r="I1173" s="18">
        <v>0</v>
      </c>
      <c r="J1173" s="18">
        <v>0</v>
      </c>
      <c r="K1173" s="18">
        <v>0</v>
      </c>
      <c r="T1173" s="3">
        <f>SUM(E1173:S1173)</f>
        <v>8</v>
      </c>
      <c r="U1173" s="3">
        <v>13</v>
      </c>
      <c r="V1173" s="3">
        <v>2</v>
      </c>
      <c r="X1173" s="2" t="s">
        <v>2232</v>
      </c>
      <c r="Y1173" s="18">
        <v>0</v>
      </c>
      <c r="Z1173" s="18">
        <v>2</v>
      </c>
      <c r="AA1173" s="18">
        <v>0</v>
      </c>
      <c r="AB1173" s="18">
        <v>0</v>
      </c>
      <c r="AC1173" s="18">
        <v>0</v>
      </c>
      <c r="AD1173" s="18">
        <v>0</v>
      </c>
      <c r="AE1173" s="18">
        <v>0</v>
      </c>
      <c r="AN1173" s="3">
        <f>SUM(Y1173:AM1173)</f>
        <v>2</v>
      </c>
      <c r="AO1173" s="3">
        <v>8</v>
      </c>
      <c r="AP1173" s="3">
        <v>1</v>
      </c>
      <c r="AR1173" s="2" t="s">
        <v>2322</v>
      </c>
    </row>
    <row r="1174" spans="1:44" ht="12.75" customHeight="1">
      <c r="A1174" s="5">
        <v>43584</v>
      </c>
      <c r="C1174" s="2" t="s">
        <v>183</v>
      </c>
      <c r="E1174" s="18">
        <v>4</v>
      </c>
      <c r="F1174" s="18">
        <v>0</v>
      </c>
      <c r="G1174" s="18">
        <v>0</v>
      </c>
      <c r="H1174" s="18">
        <v>0</v>
      </c>
      <c r="I1174" s="18">
        <v>1</v>
      </c>
      <c r="J1174" s="18">
        <v>0</v>
      </c>
      <c r="K1174" s="18">
        <v>0</v>
      </c>
      <c r="T1174" s="3">
        <f>SUM(E1174:S1174)</f>
        <v>5</v>
      </c>
      <c r="U1174" s="3">
        <v>5</v>
      </c>
      <c r="V1174" s="3">
        <v>1</v>
      </c>
      <c r="X1174" s="2" t="s">
        <v>2251</v>
      </c>
      <c r="Y1174" s="18">
        <v>0</v>
      </c>
      <c r="Z1174" s="18">
        <v>0</v>
      </c>
      <c r="AA1174" s="18">
        <v>3</v>
      </c>
      <c r="AB1174" s="18">
        <v>0</v>
      </c>
      <c r="AC1174" s="18">
        <v>3</v>
      </c>
      <c r="AD1174" s="18">
        <v>0</v>
      </c>
      <c r="AE1174" s="18">
        <v>0</v>
      </c>
      <c r="AN1174" s="3">
        <f>SUM(Y1174:AM1174)</f>
        <v>6</v>
      </c>
      <c r="AO1174" s="3">
        <v>8</v>
      </c>
      <c r="AP1174" s="3">
        <v>4</v>
      </c>
      <c r="AR1174" s="2" t="s">
        <v>2276</v>
      </c>
    </row>
    <row r="1175" spans="1:44" ht="12.75" customHeight="1">
      <c r="A1175" s="5">
        <v>43614</v>
      </c>
      <c r="B1175" s="2" t="s">
        <v>239</v>
      </c>
      <c r="C1175" s="2" t="s">
        <v>183</v>
      </c>
      <c r="D1175" s="2" t="s">
        <v>258</v>
      </c>
      <c r="E1175" s="18">
        <v>0</v>
      </c>
      <c r="F1175" s="18">
        <v>0</v>
      </c>
      <c r="G1175" s="18">
        <v>2</v>
      </c>
      <c r="H1175" s="18">
        <v>0</v>
      </c>
      <c r="I1175" s="18">
        <v>1</v>
      </c>
      <c r="J1175" s="18">
        <v>0</v>
      </c>
      <c r="K1175" s="18">
        <v>0</v>
      </c>
      <c r="T1175" s="3">
        <f>SUM(E1175:S1175)</f>
        <v>3</v>
      </c>
      <c r="U1175" s="3">
        <v>3</v>
      </c>
      <c r="V1175" s="3">
        <v>1</v>
      </c>
      <c r="X1175" s="2" t="s">
        <v>2249</v>
      </c>
      <c r="Y1175" s="18">
        <v>2</v>
      </c>
      <c r="Z1175" s="18">
        <v>2</v>
      </c>
      <c r="AA1175" s="18">
        <v>0</v>
      </c>
      <c r="AB1175" s="18">
        <v>0</v>
      </c>
      <c r="AC1175" s="18">
        <v>1</v>
      </c>
      <c r="AD1175" s="18">
        <v>0</v>
      </c>
      <c r="AE1175" s="18">
        <v>0</v>
      </c>
      <c r="AN1175" s="3">
        <f>SUM(Y1175:AM1175)</f>
        <v>5</v>
      </c>
      <c r="AO1175" s="3">
        <v>3</v>
      </c>
      <c r="AP1175" s="3">
        <v>4</v>
      </c>
      <c r="AR1175" s="2" t="s">
        <v>2248</v>
      </c>
    </row>
    <row r="1176" spans="1:44" ht="12.75" customHeight="1">
      <c r="A1176" s="5">
        <v>44291</v>
      </c>
      <c r="B1176" s="2" t="s">
        <v>152</v>
      </c>
      <c r="C1176" s="2" t="s">
        <v>183</v>
      </c>
      <c r="E1176" s="18">
        <v>0</v>
      </c>
      <c r="F1176" s="18">
        <v>6</v>
      </c>
      <c r="G1176" s="18">
        <v>1</v>
      </c>
      <c r="H1176" s="18">
        <v>1</v>
      </c>
      <c r="I1176" s="18">
        <v>0</v>
      </c>
      <c r="J1176" s="18">
        <v>0</v>
      </c>
      <c r="K1176" s="18">
        <v>0</v>
      </c>
      <c r="T1176" s="3">
        <f>SUM(E1176:S1176)</f>
        <v>8</v>
      </c>
      <c r="U1176" s="3">
        <v>11</v>
      </c>
      <c r="V1176" s="3">
        <v>2</v>
      </c>
      <c r="X1176" s="2" t="s">
        <v>2229</v>
      </c>
      <c r="Y1176" s="18">
        <v>1</v>
      </c>
      <c r="Z1176" s="18">
        <v>0</v>
      </c>
      <c r="AA1176" s="18">
        <v>0</v>
      </c>
      <c r="AB1176" s="18">
        <v>1</v>
      </c>
      <c r="AC1176" s="18">
        <v>2</v>
      </c>
      <c r="AD1176" s="18">
        <v>0</v>
      </c>
      <c r="AE1176" s="18">
        <v>0</v>
      </c>
      <c r="AN1176" s="3">
        <f>SUM(Y1176:AM1176)</f>
        <v>4</v>
      </c>
      <c r="AO1176" s="3">
        <v>9</v>
      </c>
      <c r="AP1176" s="3">
        <v>2</v>
      </c>
      <c r="AR1176" s="2" t="s">
        <v>2228</v>
      </c>
    </row>
    <row r="1177" spans="1:44" ht="12.75">
      <c r="A1177" s="5">
        <v>44697</v>
      </c>
      <c r="C1177" s="2" t="s">
        <v>183</v>
      </c>
      <c r="E1177" s="18">
        <v>3</v>
      </c>
      <c r="F1177" s="18">
        <v>2</v>
      </c>
      <c r="G1177" s="18">
        <v>0</v>
      </c>
      <c r="H1177" s="18">
        <v>5</v>
      </c>
      <c r="I1177" s="18">
        <v>0</v>
      </c>
      <c r="J1177" s="18">
        <v>6</v>
      </c>
      <c r="K1177" s="18">
        <v>0</v>
      </c>
      <c r="T1177" s="3">
        <v>16</v>
      </c>
      <c r="U1177" s="3">
        <v>19</v>
      </c>
      <c r="V1177" s="3">
        <v>4</v>
      </c>
      <c r="X1177" s="2" t="s">
        <v>2365</v>
      </c>
      <c r="Y1177" s="18">
        <v>0</v>
      </c>
      <c r="Z1177" s="18">
        <v>1</v>
      </c>
      <c r="AA1177" s="18">
        <v>4</v>
      </c>
      <c r="AB1177" s="18">
        <v>3</v>
      </c>
      <c r="AC1177" s="18">
        <v>9</v>
      </c>
      <c r="AD1177" s="18">
        <v>2</v>
      </c>
      <c r="AE1177" s="18">
        <v>8</v>
      </c>
      <c r="AN1177" s="3">
        <v>27</v>
      </c>
      <c r="AO1177" s="3">
        <v>26</v>
      </c>
      <c r="AP1177" s="3">
        <v>3</v>
      </c>
      <c r="AR1177" s="2" t="s">
        <v>2364</v>
      </c>
    </row>
    <row r="1178" spans="1:44" ht="12.75" customHeight="1">
      <c r="A1178" s="4">
        <f>DATE(87,3,26)</f>
        <v>31862</v>
      </c>
      <c r="B1178" s="2" t="s">
        <v>152</v>
      </c>
      <c r="C1178" s="2" t="s">
        <v>1555</v>
      </c>
      <c r="E1178" s="18">
        <v>1</v>
      </c>
      <c r="F1178" s="18">
        <v>3</v>
      </c>
      <c r="G1178" s="18">
        <v>0</v>
      </c>
      <c r="H1178" s="18">
        <v>2</v>
      </c>
      <c r="I1178" s="18">
        <v>0</v>
      </c>
      <c r="J1178" s="18">
        <v>1</v>
      </c>
      <c r="K1178" s="18">
        <v>0</v>
      </c>
      <c r="T1178" s="3">
        <v>7</v>
      </c>
      <c r="U1178" s="3">
        <v>7</v>
      </c>
      <c r="V1178" s="3">
        <v>4</v>
      </c>
      <c r="X1178" s="2" t="s">
        <v>1556</v>
      </c>
      <c r="Y1178" s="18">
        <v>0</v>
      </c>
      <c r="Z1178" s="18">
        <v>1</v>
      </c>
      <c r="AA1178" s="18">
        <v>1</v>
      </c>
      <c r="AB1178" s="18">
        <v>0</v>
      </c>
      <c r="AC1178" s="18">
        <v>0</v>
      </c>
      <c r="AD1178" s="18">
        <v>0</v>
      </c>
      <c r="AE1178" s="18">
        <v>0</v>
      </c>
      <c r="AN1178" s="3">
        <v>2</v>
      </c>
      <c r="AO1178" s="3">
        <v>6</v>
      </c>
      <c r="AP1178" s="3">
        <v>0</v>
      </c>
      <c r="AR1178" s="2" t="s">
        <v>1558</v>
      </c>
    </row>
    <row r="1179" spans="1:44" ht="12.75" customHeight="1">
      <c r="A1179" s="4">
        <f>DATE(64,4,28)</f>
        <v>23495</v>
      </c>
      <c r="B1179" s="2" t="s">
        <v>152</v>
      </c>
      <c r="C1179" s="2" t="s">
        <v>372</v>
      </c>
      <c r="E1179" s="18">
        <v>4</v>
      </c>
      <c r="F1179" s="18">
        <v>3</v>
      </c>
      <c r="G1179" s="18">
        <v>0</v>
      </c>
      <c r="H1179" s="18">
        <v>2</v>
      </c>
      <c r="I1179" s="18">
        <v>1</v>
      </c>
      <c r="J1179" s="18">
        <v>0</v>
      </c>
      <c r="K1179" s="18">
        <v>0</v>
      </c>
      <c r="T1179" s="3">
        <v>10</v>
      </c>
      <c r="U1179" s="3">
        <v>15</v>
      </c>
      <c r="V1179" s="3">
        <v>3</v>
      </c>
      <c r="X1179" s="2" t="s">
        <v>832</v>
      </c>
      <c r="Y1179" s="18">
        <v>1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  <c r="AE1179" s="18">
        <v>3</v>
      </c>
      <c r="AN1179" s="3">
        <v>4</v>
      </c>
      <c r="AO1179" s="3">
        <v>8</v>
      </c>
      <c r="AP1179" s="3">
        <v>7</v>
      </c>
      <c r="AR1179" s="2" t="s">
        <v>833</v>
      </c>
    </row>
    <row r="1180" spans="1:44" ht="12.75" customHeight="1">
      <c r="A1180" s="4">
        <f>DATE(64,5,7)</f>
        <v>23504</v>
      </c>
      <c r="C1180" s="2" t="s">
        <v>372</v>
      </c>
      <c r="E1180" s="18">
        <v>2</v>
      </c>
      <c r="F1180" s="18">
        <v>2</v>
      </c>
      <c r="G1180" s="18">
        <v>1</v>
      </c>
      <c r="H1180" s="18">
        <v>1</v>
      </c>
      <c r="I1180" s="18">
        <v>0</v>
      </c>
      <c r="J1180" s="18">
        <v>0</v>
      </c>
      <c r="K1180" s="18" t="s">
        <v>162</v>
      </c>
      <c r="T1180" s="3">
        <v>6</v>
      </c>
      <c r="U1180" s="3">
        <v>9</v>
      </c>
      <c r="V1180" s="3">
        <v>2</v>
      </c>
      <c r="X1180" s="2" t="s">
        <v>835</v>
      </c>
      <c r="Y1180" s="18">
        <v>2</v>
      </c>
      <c r="Z1180" s="18">
        <v>0</v>
      </c>
      <c r="AA1180" s="18">
        <v>3</v>
      </c>
      <c r="AB1180" s="18">
        <v>0</v>
      </c>
      <c r="AC1180" s="18">
        <v>0</v>
      </c>
      <c r="AD1180" s="18">
        <v>0</v>
      </c>
      <c r="AE1180" s="18">
        <v>0</v>
      </c>
      <c r="AN1180" s="3">
        <v>5</v>
      </c>
      <c r="AO1180" s="3">
        <v>8</v>
      </c>
      <c r="AP1180" s="3">
        <v>2</v>
      </c>
      <c r="AR1180" s="2" t="s">
        <v>836</v>
      </c>
    </row>
    <row r="1181" spans="1:44" ht="12.75" customHeight="1">
      <c r="A1181" s="4">
        <f>DATE(65,4,27)</f>
        <v>23859</v>
      </c>
      <c r="C1181" s="2" t="s">
        <v>372</v>
      </c>
      <c r="E1181" s="18">
        <v>3</v>
      </c>
      <c r="F1181" s="18">
        <v>0</v>
      </c>
      <c r="G1181" s="18">
        <v>1</v>
      </c>
      <c r="H1181" s="18">
        <v>4</v>
      </c>
      <c r="I1181" s="18">
        <v>0</v>
      </c>
      <c r="J1181" s="18">
        <v>1</v>
      </c>
      <c r="K1181" s="18" t="s">
        <v>162</v>
      </c>
      <c r="T1181" s="3">
        <v>9</v>
      </c>
      <c r="U1181" s="3">
        <v>6</v>
      </c>
      <c r="V1181" s="3">
        <v>4</v>
      </c>
      <c r="X1181" s="2" t="s">
        <v>843</v>
      </c>
      <c r="Y1181" s="18">
        <v>0</v>
      </c>
      <c r="Z1181" s="18">
        <v>0</v>
      </c>
      <c r="AA1181" s="18">
        <v>0</v>
      </c>
      <c r="AB1181" s="18">
        <v>0</v>
      </c>
      <c r="AC1181" s="18">
        <v>0</v>
      </c>
      <c r="AD1181" s="18">
        <v>1</v>
      </c>
      <c r="AE1181" s="18">
        <v>1</v>
      </c>
      <c r="AN1181" s="3">
        <v>2</v>
      </c>
      <c r="AO1181" s="3">
        <v>6</v>
      </c>
      <c r="AP1181" s="3">
        <v>6</v>
      </c>
      <c r="AR1181" s="2" t="s">
        <v>844</v>
      </c>
    </row>
    <row r="1182" spans="1:44" ht="12.75" customHeight="1">
      <c r="A1182" s="4">
        <f>DATE(65,5,13)</f>
        <v>23875</v>
      </c>
      <c r="B1182" s="2" t="s">
        <v>152</v>
      </c>
      <c r="C1182" s="2" t="s">
        <v>372</v>
      </c>
      <c r="E1182" s="18">
        <v>2</v>
      </c>
      <c r="F1182" s="18">
        <v>0</v>
      </c>
      <c r="G1182" s="18">
        <v>4</v>
      </c>
      <c r="H1182" s="18">
        <v>1</v>
      </c>
      <c r="I1182" s="18">
        <v>1</v>
      </c>
      <c r="J1182" s="18">
        <v>0</v>
      </c>
      <c r="K1182" s="18">
        <v>1</v>
      </c>
      <c r="T1182" s="3">
        <v>9</v>
      </c>
      <c r="U1182" s="3">
        <v>12</v>
      </c>
      <c r="V1182" s="3">
        <v>3</v>
      </c>
      <c r="X1182" s="2" t="s">
        <v>850</v>
      </c>
      <c r="Y1182" s="18">
        <v>2</v>
      </c>
      <c r="Z1182" s="18">
        <v>0</v>
      </c>
      <c r="AA1182" s="18">
        <v>0</v>
      </c>
      <c r="AB1182" s="18">
        <v>0</v>
      </c>
      <c r="AC1182" s="18">
        <v>1</v>
      </c>
      <c r="AD1182" s="18">
        <v>0</v>
      </c>
      <c r="AE1182" s="18">
        <v>3</v>
      </c>
      <c r="AN1182" s="3">
        <v>6</v>
      </c>
      <c r="AO1182" s="3">
        <v>10</v>
      </c>
      <c r="AP1182" s="3">
        <v>3</v>
      </c>
      <c r="AR1182" s="2" t="s">
        <v>851</v>
      </c>
    </row>
    <row r="1183" spans="1:44" ht="12.75" customHeight="1">
      <c r="A1183" s="4">
        <f>DATE(57,5,10)</f>
        <v>20950</v>
      </c>
      <c r="C1183" s="2" t="s">
        <v>370</v>
      </c>
      <c r="E1183" s="18">
        <v>0</v>
      </c>
      <c r="F1183" s="18">
        <v>2</v>
      </c>
      <c r="G1183" s="18">
        <v>0</v>
      </c>
      <c r="H1183" s="18">
        <v>3</v>
      </c>
      <c r="I1183" s="18">
        <v>0</v>
      </c>
      <c r="J1183" s="18">
        <v>2</v>
      </c>
      <c r="K1183" s="18" t="s">
        <v>162</v>
      </c>
      <c r="T1183" s="3">
        <v>7</v>
      </c>
      <c r="U1183" s="3">
        <v>6</v>
      </c>
      <c r="V1183" s="3">
        <v>1</v>
      </c>
      <c r="X1183" s="2" t="s">
        <v>674</v>
      </c>
      <c r="Y1183" s="18">
        <v>0</v>
      </c>
      <c r="Z1183" s="18">
        <v>0</v>
      </c>
      <c r="AA1183" s="18">
        <v>0</v>
      </c>
      <c r="AB1183" s="18">
        <v>0</v>
      </c>
      <c r="AC1183" s="18">
        <v>3</v>
      </c>
      <c r="AD1183" s="18">
        <v>0</v>
      </c>
      <c r="AE1183" s="18">
        <v>0</v>
      </c>
      <c r="AN1183" s="3">
        <v>3</v>
      </c>
      <c r="AO1183" s="3">
        <v>5</v>
      </c>
      <c r="AP1183" s="3">
        <v>6</v>
      </c>
      <c r="AR1183" s="2" t="s">
        <v>695</v>
      </c>
    </row>
    <row r="1184" spans="1:44" ht="12.75" customHeight="1">
      <c r="A1184" s="4">
        <f>DATE(58,5,9)</f>
        <v>21314</v>
      </c>
      <c r="B1184" s="2" t="s">
        <v>152</v>
      </c>
      <c r="C1184" s="2" t="s">
        <v>370</v>
      </c>
      <c r="E1184" s="18">
        <v>3</v>
      </c>
      <c r="F1184" s="18">
        <v>6</v>
      </c>
      <c r="G1184" s="18">
        <v>1</v>
      </c>
      <c r="H1184" s="18">
        <v>1</v>
      </c>
      <c r="I1184" s="18">
        <v>0</v>
      </c>
      <c r="J1184" s="18">
        <v>5</v>
      </c>
      <c r="K1184" s="18">
        <v>0</v>
      </c>
      <c r="T1184" s="3">
        <v>16</v>
      </c>
      <c r="U1184" s="3">
        <v>13</v>
      </c>
      <c r="V1184" s="3">
        <v>3</v>
      </c>
      <c r="X1184" s="2" t="s">
        <v>708</v>
      </c>
      <c r="Y1184" s="18">
        <v>0</v>
      </c>
      <c r="Z1184" s="18">
        <v>0</v>
      </c>
      <c r="AA1184" s="18">
        <v>0</v>
      </c>
      <c r="AB1184" s="18">
        <v>0</v>
      </c>
      <c r="AC1184" s="18">
        <v>3</v>
      </c>
      <c r="AD1184" s="18">
        <v>3</v>
      </c>
      <c r="AE1184" s="18">
        <v>0</v>
      </c>
      <c r="AN1184" s="3">
        <v>6</v>
      </c>
      <c r="AO1184" s="3">
        <v>9</v>
      </c>
      <c r="AP1184" s="3">
        <v>3</v>
      </c>
      <c r="AR1184" s="2" t="s">
        <v>233</v>
      </c>
    </row>
    <row r="1185" spans="1:44" ht="12.75" customHeight="1">
      <c r="A1185" s="4">
        <f>DATE(58,5,20)</f>
        <v>21325</v>
      </c>
      <c r="C1185" s="2" t="s">
        <v>370</v>
      </c>
      <c r="E1185" s="18">
        <v>6</v>
      </c>
      <c r="F1185" s="18">
        <v>1</v>
      </c>
      <c r="G1185" s="18">
        <v>1</v>
      </c>
      <c r="H1185" s="18">
        <v>5</v>
      </c>
      <c r="I1185" s="18">
        <v>0</v>
      </c>
      <c r="J1185" s="18">
        <v>0</v>
      </c>
      <c r="K1185" s="18" t="s">
        <v>162</v>
      </c>
      <c r="T1185" s="3">
        <v>13</v>
      </c>
      <c r="U1185" s="3">
        <v>16</v>
      </c>
      <c r="V1185" s="3">
        <v>3</v>
      </c>
      <c r="X1185" s="2" t="s">
        <v>710</v>
      </c>
      <c r="Y1185" s="18">
        <v>0</v>
      </c>
      <c r="Z1185" s="18">
        <v>0</v>
      </c>
      <c r="AA1185" s="18">
        <v>0</v>
      </c>
      <c r="AB1185" s="18">
        <v>0</v>
      </c>
      <c r="AC1185" s="18">
        <v>3</v>
      </c>
      <c r="AD1185" s="18">
        <v>0</v>
      </c>
      <c r="AE1185" s="18">
        <v>0</v>
      </c>
      <c r="AN1185" s="3">
        <v>3</v>
      </c>
      <c r="AO1185" s="3">
        <v>4</v>
      </c>
      <c r="AP1185" s="3">
        <v>1</v>
      </c>
      <c r="AR1185" s="2" t="s">
        <v>2387</v>
      </c>
    </row>
    <row r="1186" spans="1:44" ht="12.75" customHeight="1">
      <c r="A1186" s="4">
        <f>DATE(59,5,8)</f>
        <v>21678</v>
      </c>
      <c r="C1186" s="2" t="s">
        <v>370</v>
      </c>
      <c r="E1186" s="18">
        <v>0</v>
      </c>
      <c r="F1186" s="18">
        <v>1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T1186" s="3">
        <v>1</v>
      </c>
      <c r="U1186" s="3">
        <v>4</v>
      </c>
      <c r="V1186" s="3">
        <v>4</v>
      </c>
      <c r="X1186" s="2" t="s">
        <v>722</v>
      </c>
      <c r="Y1186" s="18">
        <v>3</v>
      </c>
      <c r="Z1186" s="18">
        <v>2</v>
      </c>
      <c r="AA1186" s="18">
        <v>0</v>
      </c>
      <c r="AB1186" s="18">
        <v>1</v>
      </c>
      <c r="AC1186" s="18">
        <v>0</v>
      </c>
      <c r="AD1186" s="18">
        <v>5</v>
      </c>
      <c r="AE1186" s="18">
        <v>1</v>
      </c>
      <c r="AN1186" s="3">
        <v>12</v>
      </c>
      <c r="AO1186" s="3">
        <v>14</v>
      </c>
      <c r="AP1186" s="3">
        <v>2</v>
      </c>
      <c r="AR1186" s="2" t="s">
        <v>723</v>
      </c>
    </row>
    <row r="1187" spans="1:44" ht="12.75" customHeight="1">
      <c r="A1187" s="4">
        <f>DATE(60,5,2)</f>
        <v>22038</v>
      </c>
      <c r="C1187" s="2" t="s">
        <v>370</v>
      </c>
      <c r="E1187" s="18">
        <v>1</v>
      </c>
      <c r="F1187" s="18">
        <v>2</v>
      </c>
      <c r="G1187" s="18">
        <v>2</v>
      </c>
      <c r="H1187" s="18">
        <v>0</v>
      </c>
      <c r="I1187" s="18">
        <v>0</v>
      </c>
      <c r="J1187" s="18">
        <v>0</v>
      </c>
      <c r="K1187" s="18" t="s">
        <v>162</v>
      </c>
      <c r="T1187" s="3">
        <v>5</v>
      </c>
      <c r="U1187" s="3">
        <v>4</v>
      </c>
      <c r="V1187" s="3">
        <v>0</v>
      </c>
      <c r="X1187" s="2" t="s">
        <v>736</v>
      </c>
      <c r="Y1187" s="18">
        <v>0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N1187" s="3">
        <v>0</v>
      </c>
      <c r="AO1187" s="3">
        <v>2</v>
      </c>
      <c r="AP1187" s="3">
        <v>3</v>
      </c>
      <c r="AR1187" s="2" t="s">
        <v>737</v>
      </c>
    </row>
    <row r="1188" spans="1:44" ht="12.75" customHeight="1">
      <c r="A1188" s="4">
        <f>DATE(60,5,20)</f>
        <v>22056</v>
      </c>
      <c r="B1188" s="2" t="s">
        <v>152</v>
      </c>
      <c r="C1188" s="2" t="s">
        <v>370</v>
      </c>
      <c r="E1188" s="18">
        <v>4</v>
      </c>
      <c r="F1188" s="18">
        <v>2</v>
      </c>
      <c r="G1188" s="18">
        <v>0</v>
      </c>
      <c r="H1188" s="18">
        <v>0</v>
      </c>
      <c r="I1188" s="18">
        <v>0</v>
      </c>
      <c r="J1188" s="18">
        <v>1</v>
      </c>
      <c r="K1188" s="18">
        <v>0</v>
      </c>
      <c r="T1188" s="3">
        <v>7</v>
      </c>
      <c r="U1188" s="3">
        <v>11</v>
      </c>
      <c r="V1188" s="3">
        <v>1</v>
      </c>
      <c r="X1188" s="2" t="s">
        <v>736</v>
      </c>
      <c r="Y1188" s="18">
        <v>0</v>
      </c>
      <c r="Z1188" s="18">
        <v>0</v>
      </c>
      <c r="AA1188" s="18">
        <v>1</v>
      </c>
      <c r="AB1188" s="18">
        <v>0</v>
      </c>
      <c r="AC1188" s="18">
        <v>0</v>
      </c>
      <c r="AD1188" s="18">
        <v>0</v>
      </c>
      <c r="AE1188" s="18">
        <v>0</v>
      </c>
      <c r="AN1188" s="3">
        <v>1</v>
      </c>
      <c r="AO1188" s="3">
        <v>8</v>
      </c>
      <c r="AP1188" s="3">
        <v>3</v>
      </c>
      <c r="AR1188" s="2" t="s">
        <v>742</v>
      </c>
    </row>
    <row r="1189" spans="1:44" ht="12.75" customHeight="1">
      <c r="A1189" s="4">
        <f>DATE(61,5,2)</f>
        <v>22403</v>
      </c>
      <c r="B1189" s="2" t="s">
        <v>152</v>
      </c>
      <c r="C1189" s="2" t="s">
        <v>370</v>
      </c>
      <c r="E1189" s="18">
        <v>2</v>
      </c>
      <c r="F1189" s="18">
        <v>0</v>
      </c>
      <c r="G1189" s="18">
        <v>0</v>
      </c>
      <c r="H1189" s="18">
        <v>0</v>
      </c>
      <c r="I1189" s="18">
        <v>0</v>
      </c>
      <c r="J1189" s="18">
        <v>0</v>
      </c>
      <c r="K1189" s="18">
        <v>5</v>
      </c>
      <c r="T1189" s="3">
        <v>7</v>
      </c>
      <c r="U1189" s="3">
        <v>7</v>
      </c>
      <c r="V1189" s="3">
        <v>2</v>
      </c>
      <c r="X1189" s="2" t="s">
        <v>750</v>
      </c>
      <c r="Y1189" s="18">
        <v>3</v>
      </c>
      <c r="Z1189" s="18">
        <v>0</v>
      </c>
      <c r="AA1189" s="18">
        <v>1</v>
      </c>
      <c r="AB1189" s="18">
        <v>0</v>
      </c>
      <c r="AC1189" s="18">
        <v>0</v>
      </c>
      <c r="AD1189" s="18">
        <v>1</v>
      </c>
      <c r="AE1189" s="18">
        <v>0</v>
      </c>
      <c r="AN1189" s="3">
        <v>5</v>
      </c>
      <c r="AO1189" s="3">
        <v>11</v>
      </c>
      <c r="AP1189" s="3">
        <v>1</v>
      </c>
      <c r="AR1189" s="2" t="s">
        <v>751</v>
      </c>
    </row>
    <row r="1190" spans="1:44" ht="12.75" customHeight="1">
      <c r="A1190" s="4">
        <f>DATE(61,5,16)</f>
        <v>22417</v>
      </c>
      <c r="C1190" s="2" t="s">
        <v>370</v>
      </c>
      <c r="E1190" s="18">
        <v>2</v>
      </c>
      <c r="F1190" s="18">
        <v>0</v>
      </c>
      <c r="G1190" s="18">
        <v>4</v>
      </c>
      <c r="H1190" s="18">
        <v>2</v>
      </c>
      <c r="I1190" s="18">
        <v>0</v>
      </c>
      <c r="J1190" s="18">
        <v>0</v>
      </c>
      <c r="K1190" s="18" t="s">
        <v>162</v>
      </c>
      <c r="T1190" s="3">
        <v>8</v>
      </c>
      <c r="U1190" s="3">
        <v>9</v>
      </c>
      <c r="V1190" s="3">
        <v>2</v>
      </c>
      <c r="X1190" s="2" t="s">
        <v>788</v>
      </c>
      <c r="Y1190" s="18">
        <v>2</v>
      </c>
      <c r="Z1190" s="18">
        <v>0</v>
      </c>
      <c r="AA1190" s="18">
        <v>2</v>
      </c>
      <c r="AB1190" s="18">
        <v>0</v>
      </c>
      <c r="AC1190" s="18">
        <v>0</v>
      </c>
      <c r="AD1190" s="18">
        <v>0</v>
      </c>
      <c r="AE1190" s="18">
        <v>0</v>
      </c>
      <c r="AN1190" s="3">
        <v>4</v>
      </c>
      <c r="AO1190" s="3">
        <v>9</v>
      </c>
      <c r="AP1190" s="3">
        <v>2</v>
      </c>
      <c r="AR1190" s="2" t="s">
        <v>789</v>
      </c>
    </row>
    <row r="1191" spans="1:44" ht="12.75" customHeight="1">
      <c r="A1191" s="4">
        <f>DATE(62,5,1)</f>
        <v>22767</v>
      </c>
      <c r="C1191" s="2" t="s">
        <v>370</v>
      </c>
      <c r="E1191" s="18">
        <v>0</v>
      </c>
      <c r="F1191" s="18">
        <v>0</v>
      </c>
      <c r="G1191" s="18">
        <v>0</v>
      </c>
      <c r="H1191" s="18">
        <v>0</v>
      </c>
      <c r="I1191" s="18">
        <v>1</v>
      </c>
      <c r="J1191" s="18">
        <v>3</v>
      </c>
      <c r="K1191" s="18" t="s">
        <v>162</v>
      </c>
      <c r="T1191" s="3">
        <v>4</v>
      </c>
      <c r="U1191" s="3">
        <v>7</v>
      </c>
      <c r="V1191" s="3">
        <v>3</v>
      </c>
      <c r="X1191" s="2" t="s">
        <v>793</v>
      </c>
      <c r="Y1191" s="18">
        <v>0</v>
      </c>
      <c r="Z1191" s="18">
        <v>0</v>
      </c>
      <c r="AA1191" s="18">
        <v>1</v>
      </c>
      <c r="AB1191" s="18">
        <v>0</v>
      </c>
      <c r="AC1191" s="18">
        <v>0</v>
      </c>
      <c r="AD1191" s="18">
        <v>2</v>
      </c>
      <c r="AE1191" s="18">
        <v>0</v>
      </c>
      <c r="AN1191" s="3">
        <v>3</v>
      </c>
      <c r="AO1191" s="3">
        <v>7</v>
      </c>
      <c r="AP1191" s="3">
        <v>3</v>
      </c>
      <c r="AR1191" s="2" t="s">
        <v>794</v>
      </c>
    </row>
    <row r="1192" spans="1:44" ht="12.75" customHeight="1">
      <c r="A1192" s="4">
        <f>DATE(62,5,15)</f>
        <v>22781</v>
      </c>
      <c r="B1192" s="2" t="s">
        <v>152</v>
      </c>
      <c r="C1192" s="2" t="s">
        <v>370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T1192" s="3">
        <v>0</v>
      </c>
      <c r="U1192" s="3">
        <v>4</v>
      </c>
      <c r="V1192" s="3">
        <v>2</v>
      </c>
      <c r="X1192" s="2" t="s">
        <v>801</v>
      </c>
      <c r="Y1192" s="18">
        <v>1</v>
      </c>
      <c r="Z1192" s="18">
        <v>0</v>
      </c>
      <c r="AA1192" s="18">
        <v>0</v>
      </c>
      <c r="AB1192" s="18">
        <v>1</v>
      </c>
      <c r="AC1192" s="18">
        <v>0</v>
      </c>
      <c r="AD1192" s="18">
        <v>0</v>
      </c>
      <c r="AE1192" s="18" t="s">
        <v>162</v>
      </c>
      <c r="AN1192" s="3">
        <v>2</v>
      </c>
      <c r="AO1192" s="3">
        <v>3</v>
      </c>
      <c r="AP1192" s="3">
        <v>4</v>
      </c>
      <c r="AR1192" s="2" t="s">
        <v>802</v>
      </c>
    </row>
    <row r="1193" spans="1:44" ht="12.75" customHeight="1">
      <c r="A1193" s="4">
        <f>DATE(63,4,30)</f>
        <v>23131</v>
      </c>
      <c r="C1193" s="2" t="s">
        <v>370</v>
      </c>
      <c r="E1193" s="18">
        <v>0</v>
      </c>
      <c r="F1193" s="18">
        <v>0</v>
      </c>
      <c r="G1193" s="18">
        <v>0</v>
      </c>
      <c r="H1193" s="18">
        <v>0</v>
      </c>
      <c r="I1193" s="18">
        <v>1</v>
      </c>
      <c r="J1193" s="18">
        <v>0</v>
      </c>
      <c r="K1193" s="18">
        <v>0</v>
      </c>
      <c r="T1193" s="3">
        <v>1</v>
      </c>
      <c r="U1193" s="3">
        <v>6</v>
      </c>
      <c r="V1193" s="3">
        <v>3</v>
      </c>
      <c r="X1193" s="2" t="s">
        <v>814</v>
      </c>
      <c r="Y1193" s="18">
        <v>0</v>
      </c>
      <c r="Z1193" s="18">
        <v>0</v>
      </c>
      <c r="AA1193" s="18">
        <v>0</v>
      </c>
      <c r="AB1193" s="18">
        <v>2</v>
      </c>
      <c r="AC1193" s="18">
        <v>0</v>
      </c>
      <c r="AD1193" s="18">
        <v>0</v>
      </c>
      <c r="AE1193" s="18">
        <v>0</v>
      </c>
      <c r="AN1193" s="3">
        <v>2</v>
      </c>
      <c r="AO1193" s="3">
        <v>1</v>
      </c>
      <c r="AP1193" s="3">
        <v>0</v>
      </c>
      <c r="AR1193" s="2" t="s">
        <v>815</v>
      </c>
    </row>
    <row r="1194" spans="1:44" ht="12.75" customHeight="1">
      <c r="A1194" s="4">
        <f>DATE(63,5,15)</f>
        <v>23146</v>
      </c>
      <c r="B1194" s="2" t="s">
        <v>152</v>
      </c>
      <c r="C1194" s="2" t="s">
        <v>370</v>
      </c>
      <c r="E1194" s="18">
        <v>0</v>
      </c>
      <c r="F1194" s="18">
        <v>0</v>
      </c>
      <c r="G1194" s="18">
        <v>0</v>
      </c>
      <c r="H1194" s="18">
        <v>0</v>
      </c>
      <c r="I1194" s="18">
        <v>3</v>
      </c>
      <c r="J1194" s="18">
        <v>5</v>
      </c>
      <c r="K1194" s="18">
        <v>0</v>
      </c>
      <c r="T1194" s="3">
        <v>8</v>
      </c>
      <c r="U1194" s="3">
        <v>8</v>
      </c>
      <c r="V1194" s="3">
        <v>1</v>
      </c>
      <c r="X1194" s="2" t="s">
        <v>806</v>
      </c>
      <c r="Y1194" s="18">
        <v>0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  <c r="AE1194" s="18">
        <v>0</v>
      </c>
      <c r="AN1194" s="3">
        <v>0</v>
      </c>
      <c r="AO1194" s="3">
        <v>2</v>
      </c>
      <c r="AP1194" s="3">
        <v>4</v>
      </c>
      <c r="AR1194" s="2" t="s">
        <v>824</v>
      </c>
    </row>
    <row r="1195" spans="1:44" ht="12.75" customHeight="1">
      <c r="A1195" s="4">
        <f>DATE(78,5,20)</f>
        <v>28630</v>
      </c>
      <c r="B1195" s="2" t="s">
        <v>239</v>
      </c>
      <c r="C1195" s="2" t="s">
        <v>269</v>
      </c>
      <c r="D1195" s="2" t="s">
        <v>258</v>
      </c>
      <c r="E1195" s="18">
        <v>4</v>
      </c>
      <c r="F1195" s="18">
        <v>11</v>
      </c>
      <c r="G1195" s="18">
        <v>0</v>
      </c>
      <c r="H1195" s="18">
        <v>0</v>
      </c>
      <c r="I1195" s="18" t="s">
        <v>162</v>
      </c>
      <c r="T1195" s="3">
        <v>15</v>
      </c>
      <c r="U1195" s="3">
        <v>8</v>
      </c>
      <c r="V1195" s="3">
        <v>0</v>
      </c>
      <c r="X1195" s="2" t="s">
        <v>1157</v>
      </c>
      <c r="Y1195" s="18">
        <v>0</v>
      </c>
      <c r="Z1195" s="18">
        <v>0</v>
      </c>
      <c r="AA1195" s="18">
        <v>0</v>
      </c>
      <c r="AB1195" s="18">
        <v>0</v>
      </c>
      <c r="AC1195" s="18">
        <v>0</v>
      </c>
      <c r="AN1195" s="3">
        <v>0</v>
      </c>
      <c r="AO1195" s="3">
        <v>0</v>
      </c>
      <c r="AP1195" s="3">
        <v>2</v>
      </c>
      <c r="AR1195" s="2" t="s">
        <v>1180</v>
      </c>
    </row>
    <row r="1196" spans="1:44" ht="12.75" customHeight="1">
      <c r="A1196" s="4">
        <f>DATE(89,4,29)</f>
        <v>32627</v>
      </c>
      <c r="C1196" s="2" t="s">
        <v>269</v>
      </c>
      <c r="E1196" s="18">
        <v>2</v>
      </c>
      <c r="F1196" s="18">
        <v>0</v>
      </c>
      <c r="G1196" s="18">
        <v>0</v>
      </c>
      <c r="H1196" s="18">
        <v>2</v>
      </c>
      <c r="I1196" s="18">
        <v>0</v>
      </c>
      <c r="J1196" s="18">
        <v>3</v>
      </c>
      <c r="K1196" s="18" t="s">
        <v>162</v>
      </c>
      <c r="T1196" s="3">
        <v>7</v>
      </c>
      <c r="U1196" s="3">
        <v>5</v>
      </c>
      <c r="V1196" s="3">
        <v>0</v>
      </c>
      <c r="X1196" s="2" t="s">
        <v>1651</v>
      </c>
      <c r="Y1196" s="18">
        <v>2</v>
      </c>
      <c r="Z1196" s="18">
        <v>0</v>
      </c>
      <c r="AA1196" s="18">
        <v>0</v>
      </c>
      <c r="AB1196" s="18">
        <v>0</v>
      </c>
      <c r="AC1196" s="18">
        <v>3</v>
      </c>
      <c r="AD1196" s="18">
        <v>0</v>
      </c>
      <c r="AE1196" s="18">
        <v>1</v>
      </c>
      <c r="AN1196" s="3">
        <v>6</v>
      </c>
      <c r="AO1196" s="3">
        <v>11</v>
      </c>
      <c r="AP1196" s="3">
        <v>2</v>
      </c>
      <c r="AR1196" s="2" t="s">
        <v>1652</v>
      </c>
    </row>
    <row r="1197" spans="1:44" ht="12.75" customHeight="1">
      <c r="A1197" s="4">
        <f>DATE(90,4,18)</f>
        <v>32981</v>
      </c>
      <c r="C1197" s="2" t="s">
        <v>269</v>
      </c>
      <c r="E1197" s="18">
        <v>1</v>
      </c>
      <c r="F1197" s="18">
        <v>1</v>
      </c>
      <c r="G1197" s="18">
        <v>0</v>
      </c>
      <c r="H1197" s="18">
        <v>5</v>
      </c>
      <c r="I1197" s="18">
        <v>7</v>
      </c>
      <c r="T1197" s="3">
        <v>14</v>
      </c>
      <c r="U1197" s="3">
        <v>12</v>
      </c>
      <c r="V1197" s="3">
        <v>4</v>
      </c>
      <c r="X1197" s="2" t="s">
        <v>1689</v>
      </c>
      <c r="Y1197" s="18">
        <v>2</v>
      </c>
      <c r="Z1197" s="18">
        <v>0</v>
      </c>
      <c r="AA1197" s="18">
        <v>0</v>
      </c>
      <c r="AB1197" s="18">
        <v>0</v>
      </c>
      <c r="AC1197" s="18">
        <v>2</v>
      </c>
      <c r="AN1197" s="3">
        <v>4</v>
      </c>
      <c r="AO1197" s="3">
        <v>5</v>
      </c>
      <c r="AP1197" s="3">
        <v>2</v>
      </c>
      <c r="AR1197" s="2" t="s">
        <v>1690</v>
      </c>
    </row>
    <row r="1198" spans="1:44" ht="12.75" customHeight="1">
      <c r="A1198" s="4">
        <f>DATE(55,5,6)</f>
        <v>20215</v>
      </c>
      <c r="C1198" s="2" t="s">
        <v>369</v>
      </c>
      <c r="E1198" s="18">
        <v>1</v>
      </c>
      <c r="F1198" s="18">
        <v>0</v>
      </c>
      <c r="G1198" s="18">
        <v>3</v>
      </c>
      <c r="H1198" s="18">
        <v>4</v>
      </c>
      <c r="I1198" s="18">
        <v>2</v>
      </c>
      <c r="J1198" s="18">
        <v>0</v>
      </c>
      <c r="K1198" s="18" t="s">
        <v>162</v>
      </c>
      <c r="T1198" s="3">
        <v>10</v>
      </c>
      <c r="U1198" s="3">
        <v>12</v>
      </c>
      <c r="V1198" s="3">
        <v>0</v>
      </c>
      <c r="X1198" s="2" t="s">
        <v>13</v>
      </c>
      <c r="Y1198" s="18">
        <v>0</v>
      </c>
      <c r="Z1198" s="18">
        <v>0</v>
      </c>
      <c r="AA1198" s="18">
        <v>1</v>
      </c>
      <c r="AB1198" s="18">
        <v>0</v>
      </c>
      <c r="AC1198" s="18">
        <v>0</v>
      </c>
      <c r="AD1198" s="18">
        <v>0</v>
      </c>
      <c r="AE1198" s="18">
        <v>0</v>
      </c>
      <c r="AN1198" s="3">
        <v>1</v>
      </c>
      <c r="AO1198" s="3">
        <v>3</v>
      </c>
      <c r="AP1198" s="3">
        <v>2</v>
      </c>
      <c r="AR1198" s="2" t="s">
        <v>14</v>
      </c>
    </row>
    <row r="1199" spans="1:44" ht="12.75" customHeight="1">
      <c r="A1199" s="4">
        <f>DATE(55,5,12)</f>
        <v>20221</v>
      </c>
      <c r="B1199" s="2" t="s">
        <v>152</v>
      </c>
      <c r="C1199" s="2" t="s">
        <v>369</v>
      </c>
      <c r="E1199" s="18">
        <v>0</v>
      </c>
      <c r="F1199" s="18">
        <v>4</v>
      </c>
      <c r="G1199" s="18">
        <v>1</v>
      </c>
      <c r="H1199" s="18">
        <v>1</v>
      </c>
      <c r="I1199" s="18">
        <v>2</v>
      </c>
      <c r="J1199" s="18">
        <v>0</v>
      </c>
      <c r="K1199" s="18">
        <v>3</v>
      </c>
      <c r="T1199" s="3">
        <v>11</v>
      </c>
      <c r="U1199" s="3">
        <v>12</v>
      </c>
      <c r="V1199" s="3">
        <v>1</v>
      </c>
      <c r="X1199" s="2" t="s">
        <v>672</v>
      </c>
      <c r="Y1199" s="18">
        <v>1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N1199" s="3">
        <v>1</v>
      </c>
      <c r="AO1199" s="3">
        <v>1</v>
      </c>
      <c r="AP1199" s="3">
        <v>9</v>
      </c>
      <c r="AR1199" s="2" t="s">
        <v>221</v>
      </c>
    </row>
    <row r="1200" spans="1:44" ht="12.75" customHeight="1">
      <c r="A1200" s="5">
        <v>36318</v>
      </c>
      <c r="B1200" s="2" t="s">
        <v>239</v>
      </c>
      <c r="C1200" s="2" t="s">
        <v>324</v>
      </c>
      <c r="D1200" s="2" t="s">
        <v>260</v>
      </c>
      <c r="E1200" s="18">
        <v>3</v>
      </c>
      <c r="F1200" s="18">
        <v>5</v>
      </c>
      <c r="G1200" s="18">
        <v>8</v>
      </c>
      <c r="H1200" s="18">
        <v>15</v>
      </c>
      <c r="I1200" s="18" t="s">
        <v>162</v>
      </c>
      <c r="T1200" s="3">
        <f>SUM(E1200:S1200)</f>
        <v>31</v>
      </c>
      <c r="U1200" s="3">
        <v>23</v>
      </c>
      <c r="V1200" s="3">
        <v>2</v>
      </c>
      <c r="X1200" s="2" t="s">
        <v>500</v>
      </c>
      <c r="Y1200" s="18">
        <v>0</v>
      </c>
      <c r="Z1200" s="18">
        <v>0</v>
      </c>
      <c r="AA1200" s="18">
        <v>0</v>
      </c>
      <c r="AB1200" s="18">
        <v>0</v>
      </c>
      <c r="AC1200" s="18">
        <v>0</v>
      </c>
      <c r="AN1200" s="3">
        <f>SUM(Y1200:AM1200)</f>
        <v>0</v>
      </c>
      <c r="AO1200" s="3">
        <v>3</v>
      </c>
      <c r="AP1200" s="3">
        <v>5</v>
      </c>
      <c r="AR1200" s="2" t="s">
        <v>2394</v>
      </c>
    </row>
    <row r="1201" spans="1:44" ht="12.75" customHeight="1">
      <c r="A1201" s="5">
        <v>36321</v>
      </c>
      <c r="B1201" s="2" t="s">
        <v>239</v>
      </c>
      <c r="C1201" s="2" t="s">
        <v>325</v>
      </c>
      <c r="D1201" s="2" t="s">
        <v>260</v>
      </c>
      <c r="E1201" s="18">
        <v>0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T1201" s="3">
        <f>SUM(E1201:S1201)</f>
        <v>0</v>
      </c>
      <c r="U1201" s="3">
        <v>3</v>
      </c>
      <c r="V1201" s="3">
        <v>0</v>
      </c>
      <c r="X1201" s="2" t="s">
        <v>608</v>
      </c>
      <c r="Y1201" s="18">
        <v>0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1</v>
      </c>
      <c r="AN1201" s="3">
        <f>SUM(Y1201:AM1201)</f>
        <v>1</v>
      </c>
      <c r="AO1201" s="3">
        <v>5</v>
      </c>
      <c r="AP1201" s="3">
        <v>1</v>
      </c>
      <c r="AR1201" s="2" t="s">
        <v>609</v>
      </c>
    </row>
    <row r="1202" spans="1:44" ht="12.75" customHeight="1">
      <c r="A1202" s="4">
        <f>DATE(90,6,11)</f>
        <v>33035</v>
      </c>
      <c r="B1202" s="2" t="s">
        <v>239</v>
      </c>
      <c r="C1202" s="2" t="s">
        <v>135</v>
      </c>
      <c r="D1202" s="2" t="s">
        <v>260</v>
      </c>
      <c r="E1202" s="18">
        <v>0</v>
      </c>
      <c r="F1202" s="18">
        <v>2</v>
      </c>
      <c r="G1202" s="18">
        <v>0</v>
      </c>
      <c r="H1202" s="18">
        <v>0</v>
      </c>
      <c r="I1202" s="18">
        <v>0</v>
      </c>
      <c r="J1202" s="18">
        <v>3</v>
      </c>
      <c r="K1202" s="18" t="s">
        <v>162</v>
      </c>
      <c r="T1202" s="3">
        <v>5</v>
      </c>
      <c r="U1202" s="3">
        <v>8</v>
      </c>
      <c r="V1202" s="3">
        <v>2</v>
      </c>
      <c r="X1202" s="2" t="s">
        <v>1636</v>
      </c>
      <c r="Y1202" s="18">
        <v>1</v>
      </c>
      <c r="Z1202" s="18">
        <v>1</v>
      </c>
      <c r="AA1202" s="18">
        <v>0</v>
      </c>
      <c r="AB1202" s="18">
        <v>2</v>
      </c>
      <c r="AC1202" s="18">
        <v>0</v>
      </c>
      <c r="AD1202" s="18">
        <v>0</v>
      </c>
      <c r="AE1202" s="18">
        <v>0</v>
      </c>
      <c r="AN1202" s="3">
        <v>4</v>
      </c>
      <c r="AO1202" s="3">
        <v>5</v>
      </c>
      <c r="AP1202" s="3">
        <v>3</v>
      </c>
      <c r="AR1202" s="2" t="s">
        <v>1711</v>
      </c>
    </row>
    <row r="1203" spans="1:44" ht="12.75" customHeight="1">
      <c r="A1203" s="5">
        <f>DATE(2005,4,9)</f>
        <v>38451</v>
      </c>
      <c r="C1203" s="2" t="s">
        <v>135</v>
      </c>
      <c r="E1203" s="18">
        <v>4</v>
      </c>
      <c r="F1203" s="18">
        <v>0</v>
      </c>
      <c r="G1203" s="18">
        <v>0</v>
      </c>
      <c r="H1203" s="18">
        <v>2</v>
      </c>
      <c r="I1203" s="18">
        <v>0</v>
      </c>
      <c r="J1203" s="18">
        <v>0</v>
      </c>
      <c r="K1203" s="18">
        <v>0</v>
      </c>
      <c r="T1203" s="3">
        <f>SUM(E1203:S1203)</f>
        <v>6</v>
      </c>
      <c r="U1203" s="3">
        <v>9</v>
      </c>
      <c r="V1203" s="3">
        <v>5</v>
      </c>
      <c r="X1203" s="2" t="s">
        <v>538</v>
      </c>
      <c r="Y1203" s="18">
        <v>0</v>
      </c>
      <c r="Z1203" s="18">
        <v>2</v>
      </c>
      <c r="AA1203" s="18">
        <v>1</v>
      </c>
      <c r="AB1203" s="18">
        <v>3</v>
      </c>
      <c r="AC1203" s="18">
        <v>0</v>
      </c>
      <c r="AD1203" s="18">
        <v>0</v>
      </c>
      <c r="AE1203" s="18">
        <v>3</v>
      </c>
      <c r="AN1203" s="3">
        <f>SUM(Y1203:AM1203)</f>
        <v>9</v>
      </c>
      <c r="AO1203" s="3">
        <v>8</v>
      </c>
      <c r="AP1203" s="3">
        <v>1</v>
      </c>
      <c r="AR1203" s="2" t="s">
        <v>539</v>
      </c>
    </row>
    <row r="1204" spans="1:44" ht="12.75" customHeight="1">
      <c r="A1204" s="5">
        <v>38836</v>
      </c>
      <c r="B1204" s="2" t="s">
        <v>152</v>
      </c>
      <c r="C1204" s="2" t="s">
        <v>135</v>
      </c>
      <c r="E1204" s="18">
        <v>0</v>
      </c>
      <c r="F1204" s="18">
        <v>3</v>
      </c>
      <c r="G1204" s="18">
        <v>0</v>
      </c>
      <c r="H1204" s="18">
        <v>0</v>
      </c>
      <c r="I1204" s="18">
        <v>2</v>
      </c>
      <c r="J1204" s="18">
        <v>0</v>
      </c>
      <c r="K1204" s="18">
        <v>1</v>
      </c>
      <c r="T1204" s="3">
        <f>SUM(E1204:S1204)</f>
        <v>6</v>
      </c>
      <c r="U1204" s="3">
        <v>11</v>
      </c>
      <c r="V1204" s="3">
        <v>3</v>
      </c>
      <c r="X1204" s="2" t="s">
        <v>1682</v>
      </c>
      <c r="Y1204" s="18">
        <v>6</v>
      </c>
      <c r="Z1204" s="18">
        <v>0</v>
      </c>
      <c r="AA1204" s="18">
        <v>1</v>
      </c>
      <c r="AB1204" s="18">
        <v>0</v>
      </c>
      <c r="AC1204" s="18">
        <v>1</v>
      </c>
      <c r="AD1204" s="18">
        <v>0</v>
      </c>
      <c r="AE1204" s="18" t="s">
        <v>162</v>
      </c>
      <c r="AN1204" s="3">
        <f>SUM(Y1204:AM1204)</f>
        <v>8</v>
      </c>
      <c r="AO1204" s="3">
        <v>11</v>
      </c>
      <c r="AP1204" s="3">
        <v>0</v>
      </c>
      <c r="AR1204" s="2" t="s">
        <v>1672</v>
      </c>
    </row>
    <row r="1205" spans="1:44" ht="12.75" customHeight="1">
      <c r="A1205" s="5">
        <v>39213</v>
      </c>
      <c r="C1205" s="2" t="s">
        <v>135</v>
      </c>
      <c r="E1205" s="18">
        <v>0</v>
      </c>
      <c r="F1205" s="18">
        <v>0</v>
      </c>
      <c r="G1205" s="18">
        <v>2</v>
      </c>
      <c r="H1205" s="18">
        <v>1</v>
      </c>
      <c r="I1205" s="18">
        <v>2</v>
      </c>
      <c r="J1205" s="18">
        <v>0</v>
      </c>
      <c r="K1205" s="18">
        <v>2</v>
      </c>
      <c r="T1205" s="3">
        <f>SUM(E1205:S1205)</f>
        <v>7</v>
      </c>
      <c r="U1205" s="3">
        <v>8</v>
      </c>
      <c r="V1205" s="3">
        <v>7</v>
      </c>
      <c r="X1205" s="2" t="s">
        <v>476</v>
      </c>
      <c r="Y1205" s="18">
        <v>3</v>
      </c>
      <c r="Z1205" s="18">
        <v>3</v>
      </c>
      <c r="AA1205" s="18">
        <v>4</v>
      </c>
      <c r="AB1205" s="18">
        <v>0</v>
      </c>
      <c r="AC1205" s="18">
        <v>1</v>
      </c>
      <c r="AD1205" s="18">
        <v>3</v>
      </c>
      <c r="AE1205" s="18">
        <v>2</v>
      </c>
      <c r="AN1205" s="3">
        <f>SUM(Y1205:AM1205)</f>
        <v>16</v>
      </c>
      <c r="AO1205" s="3">
        <v>11</v>
      </c>
      <c r="AP1205" s="3">
        <v>4</v>
      </c>
      <c r="AR1205" s="2" t="s">
        <v>483</v>
      </c>
    </row>
    <row r="1206" spans="1:44" ht="12.75" customHeight="1">
      <c r="A1206" s="5">
        <v>44349</v>
      </c>
      <c r="B1206" s="2" t="s">
        <v>152</v>
      </c>
      <c r="C1206" s="2" t="s">
        <v>135</v>
      </c>
      <c r="D1206" s="2" t="s">
        <v>260</v>
      </c>
      <c r="E1206" s="18">
        <v>0</v>
      </c>
      <c r="F1206" s="18">
        <v>1</v>
      </c>
      <c r="G1206" s="18">
        <v>0</v>
      </c>
      <c r="H1206" s="18">
        <v>0</v>
      </c>
      <c r="I1206" s="18">
        <v>4</v>
      </c>
      <c r="J1206" s="18">
        <v>0</v>
      </c>
      <c r="K1206" s="18">
        <v>2</v>
      </c>
      <c r="T1206" s="3">
        <f>SUM(E1206:S1206)</f>
        <v>7</v>
      </c>
      <c r="U1206" s="3">
        <v>9</v>
      </c>
      <c r="V1206" s="3">
        <v>1</v>
      </c>
      <c r="X1206" s="2" t="s">
        <v>2238</v>
      </c>
      <c r="Y1206" s="18">
        <v>3</v>
      </c>
      <c r="Z1206" s="18">
        <v>0</v>
      </c>
      <c r="AA1206" s="18">
        <v>1</v>
      </c>
      <c r="AB1206" s="18">
        <v>0</v>
      </c>
      <c r="AC1206" s="18">
        <v>0</v>
      </c>
      <c r="AD1206" s="18">
        <v>0</v>
      </c>
      <c r="AE1206" s="18">
        <v>0</v>
      </c>
      <c r="AN1206" s="3">
        <f>SUM(Y1206:AM1206)</f>
        <v>4</v>
      </c>
      <c r="AO1206" s="3">
        <v>6</v>
      </c>
      <c r="AP1206" s="3">
        <v>1</v>
      </c>
      <c r="AR1206" s="2" t="s">
        <v>2239</v>
      </c>
    </row>
    <row r="1207" spans="1:44" ht="12.75">
      <c r="A1207" s="5">
        <v>44712</v>
      </c>
      <c r="B1207" s="2" t="s">
        <v>239</v>
      </c>
      <c r="C1207" s="2" t="s">
        <v>135</v>
      </c>
      <c r="D1207" s="2" t="s">
        <v>260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T1207" s="3">
        <v>0</v>
      </c>
      <c r="U1207" s="3">
        <v>2</v>
      </c>
      <c r="V1207" s="3">
        <v>3</v>
      </c>
      <c r="X1207" s="2" t="s">
        <v>2367</v>
      </c>
      <c r="Y1207" s="18">
        <v>0</v>
      </c>
      <c r="Z1207" s="18">
        <v>0</v>
      </c>
      <c r="AA1207" s="18">
        <v>3</v>
      </c>
      <c r="AB1207" s="18">
        <v>0</v>
      </c>
      <c r="AC1207" s="18">
        <v>0</v>
      </c>
      <c r="AD1207" s="18">
        <v>0</v>
      </c>
      <c r="AE1207" s="18">
        <v>0</v>
      </c>
      <c r="AN1207" s="3">
        <v>3</v>
      </c>
      <c r="AO1207" s="3">
        <v>5</v>
      </c>
      <c r="AP1207" s="3">
        <v>3</v>
      </c>
      <c r="AR1207" s="2" t="s">
        <v>2369</v>
      </c>
    </row>
    <row r="1208" spans="1:44" ht="12.75" customHeight="1">
      <c r="A1208" s="5">
        <v>42891</v>
      </c>
      <c r="B1208" s="2" t="s">
        <v>239</v>
      </c>
      <c r="C1208" s="2" t="s">
        <v>2174</v>
      </c>
      <c r="D1208" s="2" t="s">
        <v>260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0</v>
      </c>
      <c r="K1208" s="18">
        <v>0</v>
      </c>
      <c r="T1208" s="3">
        <f>SUM(E1208:S1208)</f>
        <v>0</v>
      </c>
      <c r="U1208" s="3">
        <v>3</v>
      </c>
      <c r="V1208" s="3">
        <v>0</v>
      </c>
      <c r="X1208" s="2" t="s">
        <v>2211</v>
      </c>
      <c r="Y1208" s="18">
        <v>0</v>
      </c>
      <c r="Z1208" s="18">
        <v>0</v>
      </c>
      <c r="AA1208" s="18">
        <v>0</v>
      </c>
      <c r="AB1208" s="18">
        <v>0</v>
      </c>
      <c r="AC1208" s="18">
        <v>0</v>
      </c>
      <c r="AD1208" s="18">
        <v>4</v>
      </c>
      <c r="AE1208" s="18">
        <v>0</v>
      </c>
      <c r="AN1208" s="3">
        <f>SUM(Y1208:AM1208)</f>
        <v>4</v>
      </c>
      <c r="AO1208" s="3">
        <v>7</v>
      </c>
      <c r="AP1208" s="3">
        <v>0</v>
      </c>
      <c r="AR1208" s="2" t="s">
        <v>2210</v>
      </c>
    </row>
    <row r="1209" spans="1:44" ht="12.75" customHeight="1">
      <c r="A1209" s="4">
        <f>DATE(81,3,27)</f>
        <v>29672</v>
      </c>
      <c r="B1209" s="2" t="s">
        <v>152</v>
      </c>
      <c r="C1209" s="2" t="s">
        <v>1316</v>
      </c>
      <c r="E1209" s="18">
        <v>2</v>
      </c>
      <c r="F1209" s="18">
        <v>0</v>
      </c>
      <c r="G1209" s="18">
        <v>2</v>
      </c>
      <c r="H1209" s="18">
        <v>0</v>
      </c>
      <c r="I1209" s="18">
        <v>6</v>
      </c>
      <c r="J1209" s="18">
        <v>0</v>
      </c>
      <c r="T1209" s="3">
        <v>10</v>
      </c>
      <c r="U1209" s="3">
        <v>6</v>
      </c>
      <c r="V1209" s="3">
        <v>4</v>
      </c>
      <c r="X1209" s="2" t="s">
        <v>1317</v>
      </c>
      <c r="Y1209" s="18">
        <v>0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  <c r="AN1209" s="3">
        <v>0</v>
      </c>
      <c r="AO1209" s="3">
        <v>0</v>
      </c>
      <c r="AP1209" s="3">
        <v>3</v>
      </c>
      <c r="AR1209" s="2" t="s">
        <v>295</v>
      </c>
    </row>
    <row r="1210" spans="1:44" ht="12.75" customHeight="1">
      <c r="A1210" s="4">
        <f>DATE(91,3,22)</f>
        <v>33319</v>
      </c>
      <c r="B1210" s="2" t="s">
        <v>152</v>
      </c>
      <c r="C1210" s="2" t="s">
        <v>1316</v>
      </c>
      <c r="E1210" s="18">
        <v>0</v>
      </c>
      <c r="F1210" s="18">
        <v>2</v>
      </c>
      <c r="G1210" s="18">
        <v>0</v>
      </c>
      <c r="H1210" s="18">
        <v>3</v>
      </c>
      <c r="I1210" s="18">
        <v>0</v>
      </c>
      <c r="J1210" s="18">
        <v>2</v>
      </c>
      <c r="K1210" s="18">
        <v>0</v>
      </c>
      <c r="T1210" s="3">
        <v>7</v>
      </c>
      <c r="U1210" s="3">
        <v>7</v>
      </c>
      <c r="V1210" s="3">
        <v>3</v>
      </c>
      <c r="X1210" s="2" t="s">
        <v>1714</v>
      </c>
      <c r="Y1210" s="18">
        <v>0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  <c r="AE1210" s="18">
        <v>0</v>
      </c>
      <c r="AN1210" s="3">
        <v>0</v>
      </c>
      <c r="AO1210" s="3">
        <v>2</v>
      </c>
      <c r="AP1210" s="3">
        <v>7</v>
      </c>
      <c r="AR1210" s="2" t="s">
        <v>1715</v>
      </c>
    </row>
    <row r="1211" spans="1:44" ht="12.75" customHeight="1">
      <c r="A1211" s="4">
        <f>DATE(71,4,27)</f>
        <v>26050</v>
      </c>
      <c r="C1211" s="2" t="s">
        <v>375</v>
      </c>
      <c r="E1211" s="18">
        <v>3</v>
      </c>
      <c r="F1211" s="18">
        <v>2</v>
      </c>
      <c r="G1211" s="18">
        <v>0</v>
      </c>
      <c r="H1211" s="18">
        <v>0</v>
      </c>
      <c r="I1211" s="18">
        <v>0</v>
      </c>
      <c r="J1211" s="18">
        <v>0</v>
      </c>
      <c r="K1211" s="18" t="s">
        <v>162</v>
      </c>
      <c r="T1211" s="3">
        <v>5</v>
      </c>
      <c r="U1211" s="3">
        <v>4</v>
      </c>
      <c r="V1211" s="3">
        <v>1</v>
      </c>
      <c r="X1211" s="2" t="s">
        <v>951</v>
      </c>
      <c r="Y1211" s="18"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N1211" s="3">
        <v>0</v>
      </c>
      <c r="AO1211" s="3">
        <v>4</v>
      </c>
      <c r="AP1211" s="3">
        <v>7</v>
      </c>
      <c r="AR1211" s="2" t="s">
        <v>952</v>
      </c>
    </row>
    <row r="1212" spans="1:44" ht="12.75" customHeight="1">
      <c r="A1212" s="4">
        <f>DATE(71,5,24)</f>
        <v>26077</v>
      </c>
      <c r="B1212" s="2" t="s">
        <v>152</v>
      </c>
      <c r="C1212" s="2" t="s">
        <v>375</v>
      </c>
      <c r="E1212" s="18">
        <v>0</v>
      </c>
      <c r="F1212" s="18">
        <v>1</v>
      </c>
      <c r="G1212" s="18">
        <v>3</v>
      </c>
      <c r="H1212" s="18">
        <v>6</v>
      </c>
      <c r="I1212" s="18">
        <v>1</v>
      </c>
      <c r="J1212" s="18">
        <v>1</v>
      </c>
      <c r="K1212" s="18">
        <v>0</v>
      </c>
      <c r="T1212" s="3">
        <v>12</v>
      </c>
      <c r="U1212" s="3">
        <v>15</v>
      </c>
      <c r="V1212" s="3">
        <v>1</v>
      </c>
      <c r="X1212" s="2" t="s">
        <v>960</v>
      </c>
      <c r="Y1212" s="18">
        <v>0</v>
      </c>
      <c r="Z1212" s="18">
        <v>1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N1212" s="3">
        <v>1</v>
      </c>
      <c r="AO1212" s="3">
        <v>3</v>
      </c>
      <c r="AP1212" s="3">
        <v>6</v>
      </c>
      <c r="AR1212" s="2" t="s">
        <v>961</v>
      </c>
    </row>
    <row r="1213" spans="1:44" ht="12.75" customHeight="1">
      <c r="A1213" s="4">
        <f>DATE(77,5,21)</f>
        <v>28266</v>
      </c>
      <c r="C1213" s="2" t="s">
        <v>375</v>
      </c>
      <c r="D1213" s="2" t="s">
        <v>258</v>
      </c>
      <c r="E1213" s="18">
        <v>2</v>
      </c>
      <c r="F1213" s="18">
        <v>2</v>
      </c>
      <c r="G1213" s="18">
        <v>8</v>
      </c>
      <c r="H1213" s="18">
        <v>0</v>
      </c>
      <c r="I1213" s="18" t="s">
        <v>162</v>
      </c>
      <c r="T1213" s="3">
        <v>12</v>
      </c>
      <c r="U1213" s="3">
        <v>13</v>
      </c>
      <c r="V1213" s="3">
        <v>1</v>
      </c>
      <c r="X1213" s="2" t="s">
        <v>1136</v>
      </c>
      <c r="Y1213" s="18">
        <v>0</v>
      </c>
      <c r="Z1213" s="18">
        <v>0</v>
      </c>
      <c r="AA1213" s="18">
        <v>0</v>
      </c>
      <c r="AB1213" s="18">
        <v>0</v>
      </c>
      <c r="AC1213" s="18">
        <v>0</v>
      </c>
      <c r="AN1213" s="3">
        <v>0</v>
      </c>
      <c r="AO1213" s="3">
        <v>3</v>
      </c>
      <c r="AP1213" s="3">
        <v>1</v>
      </c>
      <c r="AR1213" s="2" t="s">
        <v>1137</v>
      </c>
    </row>
    <row r="1214" spans="1:44" ht="12.75" customHeight="1">
      <c r="A1214" s="4">
        <v>14752</v>
      </c>
      <c r="B1214" s="2" t="s">
        <v>152</v>
      </c>
      <c r="C1214" s="2" t="s">
        <v>367</v>
      </c>
      <c r="E1214" s="18">
        <v>10</v>
      </c>
      <c r="F1214" s="18">
        <v>1</v>
      </c>
      <c r="G1214" s="18">
        <v>0</v>
      </c>
      <c r="H1214" s="18">
        <v>0</v>
      </c>
      <c r="I1214" s="18">
        <v>5</v>
      </c>
      <c r="J1214" s="18">
        <v>2</v>
      </c>
      <c r="K1214" s="18">
        <v>4</v>
      </c>
      <c r="T1214" s="3">
        <v>22</v>
      </c>
      <c r="U1214" s="3">
        <v>15</v>
      </c>
      <c r="V1214" s="3">
        <v>0</v>
      </c>
      <c r="X1214" s="2" t="s">
        <v>60</v>
      </c>
      <c r="Y1214" s="18">
        <v>0</v>
      </c>
      <c r="Z1214" s="18">
        <v>0</v>
      </c>
      <c r="AA1214" s="18">
        <v>0</v>
      </c>
      <c r="AB1214" s="18">
        <v>5</v>
      </c>
      <c r="AC1214" s="18">
        <v>0</v>
      </c>
      <c r="AD1214" s="18">
        <v>0</v>
      </c>
      <c r="AE1214" s="18">
        <v>0</v>
      </c>
      <c r="AN1214" s="3">
        <v>5</v>
      </c>
      <c r="AO1214" s="3">
        <v>4</v>
      </c>
      <c r="AP1214" s="3">
        <v>0</v>
      </c>
      <c r="AR1214" s="2" t="s">
        <v>39</v>
      </c>
    </row>
    <row r="1215" spans="1:44" ht="12.75" customHeight="1">
      <c r="A1215" s="4">
        <v>18394</v>
      </c>
      <c r="C1215" s="2" t="s">
        <v>367</v>
      </c>
      <c r="E1215" s="18">
        <v>0</v>
      </c>
      <c r="F1215" s="18">
        <v>0</v>
      </c>
      <c r="G1215" s="18">
        <v>0</v>
      </c>
      <c r="H1215" s="18">
        <v>0</v>
      </c>
      <c r="I1215" s="18">
        <v>0</v>
      </c>
      <c r="J1215" s="18">
        <v>0</v>
      </c>
      <c r="K1215" s="18">
        <v>2</v>
      </c>
      <c r="L1215" s="18">
        <v>2</v>
      </c>
      <c r="T1215" s="3">
        <f>SUM(E1215:M1215)</f>
        <v>4</v>
      </c>
      <c r="U1215" s="3">
        <v>7</v>
      </c>
      <c r="V1215" s="3">
        <v>4</v>
      </c>
      <c r="X1215" s="2" t="s">
        <v>413</v>
      </c>
      <c r="Y1215" s="18">
        <v>1</v>
      </c>
      <c r="Z1215" s="18">
        <v>0</v>
      </c>
      <c r="AA1215" s="18">
        <v>0</v>
      </c>
      <c r="AB1215" s="18">
        <v>0</v>
      </c>
      <c r="AC1215" s="18">
        <v>0</v>
      </c>
      <c r="AD1215" s="18">
        <v>1</v>
      </c>
      <c r="AE1215" s="18">
        <v>0</v>
      </c>
      <c r="AF1215" s="18">
        <v>1</v>
      </c>
      <c r="AN1215" s="3">
        <v>3</v>
      </c>
      <c r="AO1215" s="3">
        <v>3</v>
      </c>
      <c r="AP1215" s="3">
        <v>2</v>
      </c>
      <c r="AR1215" s="2" t="s">
        <v>1938</v>
      </c>
    </row>
    <row r="1216" spans="1:44" ht="12.75" customHeight="1">
      <c r="A1216" s="4">
        <v>18407</v>
      </c>
      <c r="B1216" s="2" t="s">
        <v>152</v>
      </c>
      <c r="C1216" s="2" t="s">
        <v>367</v>
      </c>
      <c r="E1216" s="18">
        <v>1</v>
      </c>
      <c r="F1216" s="18">
        <v>1</v>
      </c>
      <c r="G1216" s="18">
        <v>0</v>
      </c>
      <c r="H1216" s="18">
        <v>0</v>
      </c>
      <c r="I1216" s="18">
        <v>3</v>
      </c>
      <c r="J1216" s="18">
        <v>0</v>
      </c>
      <c r="K1216" s="18">
        <v>0</v>
      </c>
      <c r="L1216" s="18">
        <v>0</v>
      </c>
      <c r="M1216" s="18">
        <v>9</v>
      </c>
      <c r="T1216" s="3">
        <f>SUM(E1216:M1216)</f>
        <v>14</v>
      </c>
      <c r="U1216" s="3">
        <v>13</v>
      </c>
      <c r="V1216" s="3">
        <v>6</v>
      </c>
      <c r="X1216" s="2" t="s">
        <v>1939</v>
      </c>
      <c r="Y1216" s="18">
        <v>0</v>
      </c>
      <c r="Z1216" s="18">
        <v>3</v>
      </c>
      <c r="AA1216" s="18">
        <v>0</v>
      </c>
      <c r="AB1216" s="18">
        <v>2</v>
      </c>
      <c r="AC1216" s="18">
        <v>0</v>
      </c>
      <c r="AD1216" s="18">
        <v>0</v>
      </c>
      <c r="AE1216" s="18">
        <v>0</v>
      </c>
      <c r="AF1216" s="18">
        <v>0</v>
      </c>
      <c r="AG1216" s="18">
        <v>2</v>
      </c>
      <c r="AN1216" s="3">
        <v>7</v>
      </c>
      <c r="AO1216" s="3">
        <v>7</v>
      </c>
      <c r="AP1216" s="3">
        <v>6</v>
      </c>
      <c r="AR1216" s="2" t="s">
        <v>1940</v>
      </c>
    </row>
    <row r="1217" spans="1:44" ht="12.75" customHeight="1">
      <c r="A1217" s="4">
        <f>DATE(51,4,20)</f>
        <v>18738</v>
      </c>
      <c r="C1217" s="2" t="s">
        <v>367</v>
      </c>
      <c r="E1217" s="18">
        <v>0</v>
      </c>
      <c r="F1217" s="18">
        <v>0</v>
      </c>
      <c r="G1217" s="18">
        <v>0</v>
      </c>
      <c r="H1217" s="18">
        <v>1</v>
      </c>
      <c r="I1217" s="18">
        <v>0</v>
      </c>
      <c r="J1217" s="18">
        <v>4</v>
      </c>
      <c r="K1217" s="18">
        <v>0</v>
      </c>
      <c r="T1217" s="3">
        <f>SUM(E1217:M1217)</f>
        <v>5</v>
      </c>
      <c r="U1217" s="3">
        <v>10</v>
      </c>
      <c r="V1217" s="3">
        <v>4</v>
      </c>
      <c r="X1217" s="2" t="s">
        <v>419</v>
      </c>
      <c r="Y1217" s="18">
        <v>3</v>
      </c>
      <c r="Z1217" s="18">
        <v>0</v>
      </c>
      <c r="AA1217" s="18">
        <v>1</v>
      </c>
      <c r="AB1217" s="18">
        <v>1</v>
      </c>
      <c r="AC1217" s="18">
        <v>0</v>
      </c>
      <c r="AD1217" s="18">
        <v>0</v>
      </c>
      <c r="AE1217" s="18">
        <v>2</v>
      </c>
      <c r="AN1217" s="3">
        <v>7</v>
      </c>
      <c r="AO1217" s="3">
        <v>7</v>
      </c>
      <c r="AP1217" s="3">
        <v>4</v>
      </c>
      <c r="AR1217" s="2" t="s">
        <v>1941</v>
      </c>
    </row>
    <row r="1218" spans="1:44" ht="12.75" customHeight="1">
      <c r="A1218" s="4">
        <f>DATE(57,5,8)</f>
        <v>20948</v>
      </c>
      <c r="B1218" s="2" t="s">
        <v>152</v>
      </c>
      <c r="C1218" s="2" t="s">
        <v>367</v>
      </c>
      <c r="E1218" s="18">
        <v>0</v>
      </c>
      <c r="F1218" s="18">
        <v>0</v>
      </c>
      <c r="G1218" s="18">
        <v>0</v>
      </c>
      <c r="H1218" s="18">
        <v>1</v>
      </c>
      <c r="I1218" s="18">
        <v>0</v>
      </c>
      <c r="J1218" s="18">
        <v>0</v>
      </c>
      <c r="K1218" s="18">
        <v>0</v>
      </c>
      <c r="T1218" s="3">
        <v>1</v>
      </c>
      <c r="U1218" s="3">
        <v>6</v>
      </c>
      <c r="V1218" s="3">
        <v>4</v>
      </c>
      <c r="X1218" s="2" t="s">
        <v>682</v>
      </c>
      <c r="Y1218" s="18">
        <v>0</v>
      </c>
      <c r="Z1218" s="18">
        <v>1</v>
      </c>
      <c r="AA1218" s="18">
        <v>0</v>
      </c>
      <c r="AB1218" s="18">
        <v>0</v>
      </c>
      <c r="AC1218" s="18">
        <v>3</v>
      </c>
      <c r="AD1218" s="18">
        <v>0</v>
      </c>
      <c r="AE1218" s="18" t="s">
        <v>162</v>
      </c>
      <c r="AN1218" s="3">
        <v>4</v>
      </c>
      <c r="AO1218" s="3">
        <v>5</v>
      </c>
      <c r="AP1218" s="3">
        <v>0</v>
      </c>
      <c r="AR1218" s="2" t="s">
        <v>230</v>
      </c>
    </row>
    <row r="1219" spans="1:44" ht="12.75" customHeight="1">
      <c r="A1219" s="4">
        <f>DATE(58,4,23)</f>
        <v>21298</v>
      </c>
      <c r="B1219" s="2" t="s">
        <v>152</v>
      </c>
      <c r="C1219" s="2" t="s">
        <v>367</v>
      </c>
      <c r="E1219" s="18">
        <v>0</v>
      </c>
      <c r="F1219" s="18">
        <v>0</v>
      </c>
      <c r="G1219" s="18">
        <v>0</v>
      </c>
      <c r="H1219" s="18">
        <v>0</v>
      </c>
      <c r="I1219" s="18">
        <v>3</v>
      </c>
      <c r="J1219" s="18">
        <v>0</v>
      </c>
      <c r="K1219" s="18">
        <v>1</v>
      </c>
      <c r="T1219" s="3">
        <v>4</v>
      </c>
      <c r="U1219" s="3">
        <v>5</v>
      </c>
      <c r="V1219" s="3">
        <v>1</v>
      </c>
      <c r="X1219" s="2" t="s">
        <v>700</v>
      </c>
      <c r="Y1219" s="18">
        <v>0</v>
      </c>
      <c r="Z1219" s="18">
        <v>0</v>
      </c>
      <c r="AA1219" s="18">
        <v>0</v>
      </c>
      <c r="AB1219" s="18">
        <v>3</v>
      </c>
      <c r="AC1219" s="18">
        <v>0</v>
      </c>
      <c r="AD1219" s="18">
        <v>0</v>
      </c>
      <c r="AE1219" s="18">
        <v>0</v>
      </c>
      <c r="AN1219" s="3">
        <v>3</v>
      </c>
      <c r="AO1219" s="3">
        <v>4</v>
      </c>
      <c r="AP1219" s="3">
        <v>3</v>
      </c>
      <c r="AR1219" s="2" t="s">
        <v>701</v>
      </c>
    </row>
    <row r="1220" spans="1:44" ht="12.75" customHeight="1">
      <c r="A1220" s="4">
        <f>DATE(59,4,22)</f>
        <v>21662</v>
      </c>
      <c r="B1220" s="2" t="s">
        <v>152</v>
      </c>
      <c r="C1220" s="2" t="s">
        <v>367</v>
      </c>
      <c r="E1220" s="18">
        <v>1</v>
      </c>
      <c r="F1220" s="18">
        <v>0</v>
      </c>
      <c r="G1220" s="18">
        <v>0</v>
      </c>
      <c r="H1220" s="18">
        <v>1</v>
      </c>
      <c r="I1220" s="18">
        <v>0</v>
      </c>
      <c r="J1220" s="18">
        <v>0</v>
      </c>
      <c r="K1220" s="18">
        <v>0</v>
      </c>
      <c r="L1220" s="18">
        <v>0</v>
      </c>
      <c r="M1220" s="18">
        <v>0</v>
      </c>
      <c r="N1220" s="18">
        <v>0</v>
      </c>
      <c r="T1220" s="3">
        <v>2</v>
      </c>
      <c r="U1220" s="3">
        <v>1</v>
      </c>
      <c r="V1220" s="3">
        <v>2</v>
      </c>
      <c r="X1220" s="2" t="s">
        <v>717</v>
      </c>
      <c r="Y1220" s="18">
        <v>2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  <c r="AE1220" s="18">
        <v>1</v>
      </c>
      <c r="AF1220" s="18">
        <v>1</v>
      </c>
      <c r="AG1220" s="18" t="s">
        <v>162</v>
      </c>
      <c r="AN1220" s="3">
        <v>4</v>
      </c>
      <c r="AO1220" s="3">
        <v>9</v>
      </c>
      <c r="AP1220" s="3">
        <v>1</v>
      </c>
      <c r="AR1220" s="2" t="s">
        <v>718</v>
      </c>
    </row>
    <row r="1221" spans="1:44" ht="12.75" customHeight="1">
      <c r="A1221" s="4">
        <f>DATE(60,4,20)</f>
        <v>22026</v>
      </c>
      <c r="C1221" s="2" t="s">
        <v>367</v>
      </c>
      <c r="E1221" s="18">
        <v>0</v>
      </c>
      <c r="F1221" s="18">
        <v>0</v>
      </c>
      <c r="G1221" s="18">
        <v>2</v>
      </c>
      <c r="H1221" s="18">
        <v>0</v>
      </c>
      <c r="I1221" s="18">
        <v>0</v>
      </c>
      <c r="J1221" s="18">
        <v>0</v>
      </c>
      <c r="K1221" s="18">
        <v>5</v>
      </c>
      <c r="T1221" s="3">
        <v>7</v>
      </c>
      <c r="U1221" s="3">
        <v>8</v>
      </c>
      <c r="V1221" s="3">
        <v>2</v>
      </c>
      <c r="X1221" s="2" t="s">
        <v>732</v>
      </c>
      <c r="Y1221" s="18">
        <v>0</v>
      </c>
      <c r="Z1221" s="18">
        <v>0</v>
      </c>
      <c r="AA1221" s="18">
        <v>5</v>
      </c>
      <c r="AB1221" s="18">
        <v>4</v>
      </c>
      <c r="AC1221" s="18">
        <v>2</v>
      </c>
      <c r="AD1221" s="18">
        <v>0</v>
      </c>
      <c r="AE1221" s="18">
        <v>0</v>
      </c>
      <c r="AN1221" s="3">
        <v>11</v>
      </c>
      <c r="AO1221" s="3">
        <v>10</v>
      </c>
      <c r="AP1221" s="3">
        <v>3</v>
      </c>
      <c r="AR1221" s="2" t="s">
        <v>733</v>
      </c>
    </row>
    <row r="1222" spans="1:44" ht="12.75" customHeight="1">
      <c r="A1222" s="4">
        <f>DATE(60,5,3)</f>
        <v>22039</v>
      </c>
      <c r="B1222" s="2" t="s">
        <v>152</v>
      </c>
      <c r="C1222" s="2" t="s">
        <v>367</v>
      </c>
      <c r="E1222" s="18">
        <v>9</v>
      </c>
      <c r="F1222" s="18">
        <v>0</v>
      </c>
      <c r="G1222" s="18">
        <v>0</v>
      </c>
      <c r="H1222" s="18">
        <v>6</v>
      </c>
      <c r="I1222" s="18">
        <v>0</v>
      </c>
      <c r="J1222" s="18">
        <v>0</v>
      </c>
      <c r="K1222" s="18">
        <v>2</v>
      </c>
      <c r="T1222" s="3">
        <v>17</v>
      </c>
      <c r="U1222" s="3">
        <v>17</v>
      </c>
      <c r="V1222" s="3">
        <v>2</v>
      </c>
      <c r="X1222" s="2" t="s">
        <v>738</v>
      </c>
      <c r="Y1222" s="18">
        <v>0</v>
      </c>
      <c r="Z1222" s="18">
        <v>0</v>
      </c>
      <c r="AA1222" s="18">
        <v>0</v>
      </c>
      <c r="AB1222" s="18">
        <v>3</v>
      </c>
      <c r="AC1222" s="18">
        <v>0</v>
      </c>
      <c r="AD1222" s="18">
        <v>0</v>
      </c>
      <c r="AE1222" s="18">
        <v>0</v>
      </c>
      <c r="AN1222" s="3">
        <v>3</v>
      </c>
      <c r="AO1222" s="3">
        <v>6</v>
      </c>
      <c r="AP1222" s="3">
        <v>7</v>
      </c>
      <c r="AR1222" s="2" t="s">
        <v>739</v>
      </c>
    </row>
    <row r="1223" spans="1:44" ht="12.75" customHeight="1">
      <c r="A1223" s="4">
        <f>DATE(61,5,15)</f>
        <v>22416</v>
      </c>
      <c r="B1223" s="2" t="s">
        <v>152</v>
      </c>
      <c r="C1223" s="2" t="s">
        <v>367</v>
      </c>
      <c r="E1223" s="18">
        <v>0</v>
      </c>
      <c r="F1223" s="18">
        <v>0</v>
      </c>
      <c r="G1223" s="18">
        <v>0</v>
      </c>
      <c r="H1223" s="18">
        <v>0</v>
      </c>
      <c r="I1223" s="18">
        <v>1</v>
      </c>
      <c r="J1223" s="18">
        <v>0</v>
      </c>
      <c r="T1223" s="3">
        <v>1</v>
      </c>
      <c r="U1223" s="3">
        <v>5</v>
      </c>
      <c r="V1223" s="3">
        <v>1</v>
      </c>
      <c r="X1223" s="2" t="s">
        <v>738</v>
      </c>
      <c r="Y1223" s="18">
        <v>0</v>
      </c>
      <c r="Z1223" s="18">
        <v>2</v>
      </c>
      <c r="AA1223" s="18">
        <v>1</v>
      </c>
      <c r="AB1223" s="18">
        <v>0</v>
      </c>
      <c r="AC1223" s="18">
        <v>0</v>
      </c>
      <c r="AD1223" s="18">
        <v>1</v>
      </c>
      <c r="AN1223" s="3">
        <v>4</v>
      </c>
      <c r="AO1223" s="3">
        <v>3</v>
      </c>
      <c r="AP1223" s="3">
        <v>0</v>
      </c>
      <c r="AR1223" s="2" t="s">
        <v>757</v>
      </c>
    </row>
    <row r="1224" spans="1:44" ht="12.75" customHeight="1">
      <c r="A1224" s="4">
        <f>DATE(72,4,10)</f>
        <v>26399</v>
      </c>
      <c r="C1224" s="2" t="s">
        <v>367</v>
      </c>
      <c r="E1224" s="18">
        <v>0</v>
      </c>
      <c r="F1224" s="18">
        <v>0</v>
      </c>
      <c r="G1224" s="18">
        <v>0</v>
      </c>
      <c r="H1224" s="18">
        <v>0</v>
      </c>
      <c r="I1224" s="18">
        <v>0</v>
      </c>
      <c r="J1224" s="18">
        <v>1</v>
      </c>
      <c r="K1224" s="18">
        <v>1</v>
      </c>
      <c r="T1224" s="3">
        <v>2</v>
      </c>
      <c r="U1224" s="3">
        <v>5</v>
      </c>
      <c r="V1224" s="3">
        <v>0</v>
      </c>
      <c r="X1224" s="2" t="s">
        <v>968</v>
      </c>
      <c r="Y1224" s="18">
        <v>0</v>
      </c>
      <c r="Z1224" s="18">
        <v>0</v>
      </c>
      <c r="AA1224" s="18">
        <v>0</v>
      </c>
      <c r="AB1224" s="18">
        <v>0</v>
      </c>
      <c r="AC1224" s="18">
        <v>0</v>
      </c>
      <c r="AD1224" s="18">
        <v>1</v>
      </c>
      <c r="AE1224" s="18">
        <v>0</v>
      </c>
      <c r="AN1224" s="3">
        <v>1</v>
      </c>
      <c r="AO1224" s="3">
        <v>4</v>
      </c>
      <c r="AP1224" s="3">
        <v>1</v>
      </c>
      <c r="AR1224" s="2" t="s">
        <v>969</v>
      </c>
    </row>
    <row r="1225" spans="1:44" ht="12.75" customHeight="1">
      <c r="A1225" s="4">
        <f>DATE(72,5,5)</f>
        <v>26424</v>
      </c>
      <c r="B1225" s="2" t="s">
        <v>152</v>
      </c>
      <c r="C1225" s="2" t="s">
        <v>367</v>
      </c>
      <c r="E1225" s="18">
        <v>0</v>
      </c>
      <c r="F1225" s="18">
        <v>2</v>
      </c>
      <c r="G1225" s="18">
        <v>0</v>
      </c>
      <c r="H1225" s="18">
        <v>0</v>
      </c>
      <c r="I1225" s="18">
        <v>0</v>
      </c>
      <c r="J1225" s="18">
        <v>1</v>
      </c>
      <c r="K1225" s="18">
        <v>0</v>
      </c>
      <c r="T1225" s="3">
        <v>3</v>
      </c>
      <c r="U1225" s="3">
        <v>5</v>
      </c>
      <c r="V1225" s="3">
        <v>4</v>
      </c>
      <c r="X1225" s="2" t="s">
        <v>980</v>
      </c>
      <c r="Y1225" s="18">
        <v>0</v>
      </c>
      <c r="Z1225" s="18">
        <v>0</v>
      </c>
      <c r="AA1225" s="18">
        <v>2</v>
      </c>
      <c r="AB1225" s="18">
        <v>3</v>
      </c>
      <c r="AC1225" s="18">
        <v>0</v>
      </c>
      <c r="AD1225" s="18">
        <v>0</v>
      </c>
      <c r="AE1225" s="18" t="s">
        <v>162</v>
      </c>
      <c r="AN1225" s="3">
        <v>5</v>
      </c>
      <c r="AO1225" s="3">
        <v>4</v>
      </c>
      <c r="AP1225" s="3">
        <v>2</v>
      </c>
      <c r="AR1225" s="2" t="s">
        <v>969</v>
      </c>
    </row>
    <row r="1226" spans="1:44" ht="12.75" customHeight="1">
      <c r="A1226" s="4">
        <f>DATE(73,4,3)</f>
        <v>26757</v>
      </c>
      <c r="C1226" s="2" t="s">
        <v>367</v>
      </c>
      <c r="E1226" s="18">
        <v>0</v>
      </c>
      <c r="F1226" s="18">
        <v>1</v>
      </c>
      <c r="G1226" s="18">
        <v>0</v>
      </c>
      <c r="H1226" s="18">
        <v>0</v>
      </c>
      <c r="I1226" s="18">
        <v>0</v>
      </c>
      <c r="J1226" s="18">
        <v>1</v>
      </c>
      <c r="K1226" s="18">
        <v>0</v>
      </c>
      <c r="T1226" s="3">
        <v>2</v>
      </c>
      <c r="U1226" s="3">
        <v>1</v>
      </c>
      <c r="V1226" s="3">
        <v>3</v>
      </c>
      <c r="X1226" s="2" t="s">
        <v>992</v>
      </c>
      <c r="Y1226" s="18">
        <v>0</v>
      </c>
      <c r="Z1226" s="18">
        <v>0</v>
      </c>
      <c r="AA1226" s="18">
        <v>2</v>
      </c>
      <c r="AB1226" s="18">
        <v>0</v>
      </c>
      <c r="AC1226" s="18">
        <v>0</v>
      </c>
      <c r="AD1226" s="18">
        <v>0</v>
      </c>
      <c r="AE1226" s="18">
        <v>0</v>
      </c>
      <c r="AN1226" s="3">
        <v>2</v>
      </c>
      <c r="AO1226" s="3">
        <v>4</v>
      </c>
      <c r="AP1226" s="3">
        <v>2</v>
      </c>
      <c r="AR1226" s="2" t="s">
        <v>993</v>
      </c>
    </row>
    <row r="1227" spans="1:44" ht="12.75" customHeight="1">
      <c r="A1227" s="4">
        <f>DATE(73,5,19)</f>
        <v>26803</v>
      </c>
      <c r="B1227" s="2" t="s">
        <v>152</v>
      </c>
      <c r="C1227" s="2" t="s">
        <v>367</v>
      </c>
      <c r="E1227" s="18">
        <v>1</v>
      </c>
      <c r="F1227" s="18">
        <v>0</v>
      </c>
      <c r="G1227" s="18">
        <v>0</v>
      </c>
      <c r="H1227" s="18">
        <v>0</v>
      </c>
      <c r="I1227" s="18">
        <v>0</v>
      </c>
      <c r="J1227" s="18">
        <v>2</v>
      </c>
      <c r="K1227" s="18">
        <v>0</v>
      </c>
      <c r="T1227" s="3">
        <v>3</v>
      </c>
      <c r="U1227" s="3">
        <v>7</v>
      </c>
      <c r="V1227" s="3">
        <v>10</v>
      </c>
      <c r="X1227" s="2" t="s">
        <v>1012</v>
      </c>
      <c r="Y1227" s="18">
        <v>5</v>
      </c>
      <c r="Z1227" s="18">
        <v>3</v>
      </c>
      <c r="AA1227" s="18">
        <v>2</v>
      </c>
      <c r="AB1227" s="18">
        <v>0</v>
      </c>
      <c r="AC1227" s="18">
        <v>11</v>
      </c>
      <c r="AD1227" s="18">
        <v>0</v>
      </c>
      <c r="AE1227" s="18" t="s">
        <v>162</v>
      </c>
      <c r="AN1227" s="3">
        <v>21</v>
      </c>
      <c r="AO1227" s="3">
        <v>17</v>
      </c>
      <c r="AP1227" s="3">
        <v>4</v>
      </c>
      <c r="AR1227" s="2" t="s">
        <v>1013</v>
      </c>
    </row>
    <row r="1228" spans="1:44" ht="12.75" customHeight="1">
      <c r="A1228" s="4">
        <f>DATE(73,5,19)</f>
        <v>26803</v>
      </c>
      <c r="B1228" s="2" t="s">
        <v>152</v>
      </c>
      <c r="C1228" s="2" t="s">
        <v>367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T1228" s="3">
        <v>0</v>
      </c>
      <c r="U1228" s="3">
        <v>5</v>
      </c>
      <c r="V1228" s="3">
        <v>1</v>
      </c>
      <c r="X1228" s="2" t="s">
        <v>1014</v>
      </c>
      <c r="Y1228" s="18">
        <v>2</v>
      </c>
      <c r="Z1228" s="18">
        <v>0</v>
      </c>
      <c r="AA1228" s="18">
        <v>0</v>
      </c>
      <c r="AB1228" s="18">
        <v>1</v>
      </c>
      <c r="AC1228" s="18">
        <v>0</v>
      </c>
      <c r="AD1228" s="18">
        <v>0</v>
      </c>
      <c r="AE1228" s="18" t="s">
        <v>162</v>
      </c>
      <c r="AN1228" s="3">
        <v>3</v>
      </c>
      <c r="AO1228" s="3">
        <v>3</v>
      </c>
      <c r="AP1228" s="3">
        <v>2</v>
      </c>
      <c r="AR1228" s="2" t="s">
        <v>1015</v>
      </c>
    </row>
    <row r="1229" spans="1:44" ht="12.75" customHeight="1">
      <c r="A1229" s="4">
        <f>DATE(74,4,4)</f>
        <v>27123</v>
      </c>
      <c r="C1229" s="2" t="s">
        <v>367</v>
      </c>
      <c r="E1229" s="18">
        <v>2</v>
      </c>
      <c r="F1229" s="18">
        <v>1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T1229" s="3">
        <v>3</v>
      </c>
      <c r="U1229" s="3">
        <v>6</v>
      </c>
      <c r="V1229" s="3">
        <v>3</v>
      </c>
      <c r="X1229" s="2" t="s">
        <v>1010</v>
      </c>
      <c r="Y1229" s="18">
        <v>0</v>
      </c>
      <c r="Z1229" s="18">
        <v>1</v>
      </c>
      <c r="AA1229" s="18">
        <v>0</v>
      </c>
      <c r="AB1229" s="18">
        <v>0</v>
      </c>
      <c r="AC1229" s="18">
        <v>0</v>
      </c>
      <c r="AD1229" s="18">
        <v>1</v>
      </c>
      <c r="AE1229" s="18">
        <v>2</v>
      </c>
      <c r="AN1229" s="3">
        <v>4</v>
      </c>
      <c r="AO1229" s="3">
        <v>5</v>
      </c>
      <c r="AP1229" s="3">
        <v>2</v>
      </c>
      <c r="AR1229" s="2" t="s">
        <v>1018</v>
      </c>
    </row>
    <row r="1230" spans="1:44" ht="12.75" customHeight="1">
      <c r="A1230" s="4">
        <f>DATE(74,5,11)</f>
        <v>27160</v>
      </c>
      <c r="B1230" s="2" t="s">
        <v>152</v>
      </c>
      <c r="C1230" s="2" t="s">
        <v>367</v>
      </c>
      <c r="E1230" s="18">
        <v>3</v>
      </c>
      <c r="F1230" s="18">
        <v>0</v>
      </c>
      <c r="G1230" s="18">
        <v>1</v>
      </c>
      <c r="H1230" s="18">
        <v>1</v>
      </c>
      <c r="I1230" s="18">
        <v>4</v>
      </c>
      <c r="J1230" s="18">
        <v>0</v>
      </c>
      <c r="K1230" s="18">
        <v>0</v>
      </c>
      <c r="T1230" s="3">
        <v>9</v>
      </c>
      <c r="U1230" s="3">
        <v>8</v>
      </c>
      <c r="V1230" s="3">
        <v>0</v>
      </c>
      <c r="X1230" s="2" t="s">
        <v>996</v>
      </c>
      <c r="Y1230" s="18"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N1230" s="3">
        <v>0</v>
      </c>
      <c r="AO1230" s="3">
        <v>3</v>
      </c>
      <c r="AP1230" s="3">
        <v>2</v>
      </c>
      <c r="AR1230" s="2" t="s">
        <v>1031</v>
      </c>
    </row>
    <row r="1231" spans="1:44" ht="12.75" customHeight="1">
      <c r="A1231" s="4">
        <f>DATE(74,5,11)</f>
        <v>27160</v>
      </c>
      <c r="B1231" s="2" t="s">
        <v>152</v>
      </c>
      <c r="C1231" s="2" t="s">
        <v>367</v>
      </c>
      <c r="E1231" s="18">
        <v>4</v>
      </c>
      <c r="F1231" s="18">
        <v>0</v>
      </c>
      <c r="G1231" s="18">
        <v>2</v>
      </c>
      <c r="H1231" s="18">
        <v>4</v>
      </c>
      <c r="I1231" s="18">
        <v>0</v>
      </c>
      <c r="J1231" s="18">
        <v>5</v>
      </c>
      <c r="K1231" s="18">
        <v>0</v>
      </c>
      <c r="T1231" s="3">
        <v>15</v>
      </c>
      <c r="U1231" s="3">
        <v>10</v>
      </c>
      <c r="V1231" s="3">
        <v>0</v>
      </c>
      <c r="X1231" s="2" t="s">
        <v>1032</v>
      </c>
      <c r="Y1231" s="18">
        <v>0</v>
      </c>
      <c r="Z1231" s="18">
        <v>0</v>
      </c>
      <c r="AA1231" s="18">
        <v>0</v>
      </c>
      <c r="AB1231" s="18">
        <v>2</v>
      </c>
      <c r="AC1231" s="18">
        <v>0</v>
      </c>
      <c r="AD1231" s="18">
        <v>0</v>
      </c>
      <c r="AE1231" s="18">
        <v>0</v>
      </c>
      <c r="AN1231" s="3">
        <v>2</v>
      </c>
      <c r="AO1231" s="3">
        <v>1</v>
      </c>
      <c r="AP1231" s="3">
        <v>3</v>
      </c>
      <c r="AR1231" s="2" t="s">
        <v>1033</v>
      </c>
    </row>
    <row r="1232" spans="1:44" ht="12.75" customHeight="1">
      <c r="A1232" s="4">
        <f>DATE(75,5,5)</f>
        <v>27519</v>
      </c>
      <c r="C1232" s="2" t="s">
        <v>367</v>
      </c>
      <c r="E1232" s="18">
        <v>0</v>
      </c>
      <c r="F1232" s="18">
        <v>0</v>
      </c>
      <c r="G1232" s="18">
        <v>1</v>
      </c>
      <c r="H1232" s="18">
        <v>0</v>
      </c>
      <c r="I1232" s="18">
        <v>0</v>
      </c>
      <c r="J1232" s="18">
        <v>0</v>
      </c>
      <c r="K1232" s="18">
        <v>0</v>
      </c>
      <c r="T1232" s="3">
        <v>1</v>
      </c>
      <c r="U1232" s="3">
        <v>4</v>
      </c>
      <c r="V1232" s="3">
        <v>4</v>
      </c>
      <c r="X1232" s="2" t="s">
        <v>1043</v>
      </c>
      <c r="Y1232" s="18">
        <v>0</v>
      </c>
      <c r="Z1232" s="18">
        <v>0</v>
      </c>
      <c r="AA1232" s="18">
        <v>0</v>
      </c>
      <c r="AB1232" s="18">
        <v>0</v>
      </c>
      <c r="AC1232" s="18">
        <v>1</v>
      </c>
      <c r="AD1232" s="18">
        <v>4</v>
      </c>
      <c r="AE1232" s="18">
        <v>2</v>
      </c>
      <c r="AN1232" s="3">
        <v>7</v>
      </c>
      <c r="AO1232" s="3">
        <v>9</v>
      </c>
      <c r="AP1232" s="3">
        <v>1</v>
      </c>
      <c r="AR1232" s="2" t="s">
        <v>1053</v>
      </c>
    </row>
    <row r="1233" spans="1:44" ht="12.75" customHeight="1">
      <c r="A1233" s="4">
        <f>DATE(75,5,11)</f>
        <v>27525</v>
      </c>
      <c r="B1233" s="2" t="s">
        <v>152</v>
      </c>
      <c r="C1233" s="2" t="s">
        <v>367</v>
      </c>
      <c r="E1233" s="18">
        <v>3</v>
      </c>
      <c r="F1233" s="18">
        <v>2</v>
      </c>
      <c r="G1233" s="18">
        <v>0</v>
      </c>
      <c r="H1233" s="18">
        <v>1</v>
      </c>
      <c r="I1233" s="18">
        <v>0</v>
      </c>
      <c r="J1233" s="18">
        <v>2</v>
      </c>
      <c r="K1233" s="18">
        <v>0</v>
      </c>
      <c r="T1233" s="3">
        <v>8</v>
      </c>
      <c r="U1233" s="3">
        <v>9</v>
      </c>
      <c r="V1233" s="3">
        <v>2</v>
      </c>
      <c r="X1233" s="2" t="s">
        <v>1056</v>
      </c>
      <c r="Y1233" s="18">
        <v>0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  <c r="AE1233" s="18">
        <v>4</v>
      </c>
      <c r="AN1233" s="3">
        <v>4</v>
      </c>
      <c r="AO1233" s="3">
        <v>3</v>
      </c>
      <c r="AP1233" s="3">
        <v>2</v>
      </c>
      <c r="AR1233" s="2" t="s">
        <v>1057</v>
      </c>
    </row>
    <row r="1234" spans="1:44" ht="12.75" customHeight="1">
      <c r="A1234" s="4">
        <f>DATE(75,5,11)</f>
        <v>27525</v>
      </c>
      <c r="B1234" s="2" t="s">
        <v>152</v>
      </c>
      <c r="C1234" s="2" t="s">
        <v>367</v>
      </c>
      <c r="E1234" s="18">
        <v>0</v>
      </c>
      <c r="F1234" s="18">
        <v>2</v>
      </c>
      <c r="G1234" s="18">
        <v>1</v>
      </c>
      <c r="H1234" s="18">
        <v>1</v>
      </c>
      <c r="I1234" s="18">
        <v>0</v>
      </c>
      <c r="J1234" s="18">
        <v>0</v>
      </c>
      <c r="K1234" s="18">
        <v>0</v>
      </c>
      <c r="T1234" s="3">
        <v>4</v>
      </c>
      <c r="U1234" s="3">
        <v>10</v>
      </c>
      <c r="V1234" s="3">
        <v>2</v>
      </c>
      <c r="X1234" s="2" t="s">
        <v>1058</v>
      </c>
      <c r="Y1234" s="18">
        <v>0</v>
      </c>
      <c r="Z1234" s="18">
        <v>0</v>
      </c>
      <c r="AA1234" s="18">
        <v>0</v>
      </c>
      <c r="AB1234" s="18">
        <v>1</v>
      </c>
      <c r="AC1234" s="18">
        <v>7</v>
      </c>
      <c r="AD1234" s="18">
        <v>2</v>
      </c>
      <c r="AE1234" s="18">
        <v>0</v>
      </c>
      <c r="AN1234" s="3">
        <v>10</v>
      </c>
      <c r="AO1234" s="3">
        <v>10</v>
      </c>
      <c r="AP1234" s="3">
        <v>3</v>
      </c>
      <c r="AR1234" s="2" t="s">
        <v>1053</v>
      </c>
    </row>
    <row r="1235" spans="1:44" ht="12.75" customHeight="1">
      <c r="A1235" s="4">
        <f>DATE(76,4,12)</f>
        <v>27862</v>
      </c>
      <c r="C1235" s="2" t="s">
        <v>367</v>
      </c>
      <c r="E1235" s="18">
        <v>0</v>
      </c>
      <c r="F1235" s="18">
        <v>0</v>
      </c>
      <c r="G1235" s="18">
        <v>0</v>
      </c>
      <c r="H1235" s="18">
        <v>0</v>
      </c>
      <c r="I1235" s="18">
        <v>0</v>
      </c>
      <c r="J1235" s="18">
        <v>0</v>
      </c>
      <c r="K1235" s="18">
        <v>5</v>
      </c>
      <c r="T1235" s="3">
        <v>5</v>
      </c>
      <c r="U1235" s="3">
        <v>8</v>
      </c>
      <c r="V1235" s="3">
        <v>7</v>
      </c>
      <c r="X1235" s="2" t="s">
        <v>1070</v>
      </c>
      <c r="Y1235" s="18">
        <v>0</v>
      </c>
      <c r="Z1235" s="18">
        <v>0</v>
      </c>
      <c r="AA1235" s="18">
        <v>0</v>
      </c>
      <c r="AB1235" s="18">
        <v>0</v>
      </c>
      <c r="AC1235" s="18">
        <v>4</v>
      </c>
      <c r="AD1235" s="18">
        <v>0</v>
      </c>
      <c r="AE1235" s="18">
        <v>0</v>
      </c>
      <c r="AN1235" s="3">
        <v>4</v>
      </c>
      <c r="AO1235" s="3">
        <v>4</v>
      </c>
      <c r="AP1235" s="3">
        <v>3</v>
      </c>
      <c r="AR1235" s="2" t="s">
        <v>1071</v>
      </c>
    </row>
    <row r="1236" spans="1:44" ht="12.75" customHeight="1">
      <c r="A1236" s="4">
        <f>DATE(76,4,24)</f>
        <v>27874</v>
      </c>
      <c r="B1236" s="2" t="s">
        <v>152</v>
      </c>
      <c r="C1236" s="2" t="s">
        <v>367</v>
      </c>
      <c r="E1236" s="18">
        <v>0</v>
      </c>
      <c r="F1236" s="18">
        <v>3</v>
      </c>
      <c r="G1236" s="18">
        <v>2</v>
      </c>
      <c r="H1236" s="18">
        <v>0</v>
      </c>
      <c r="I1236" s="18">
        <v>0</v>
      </c>
      <c r="J1236" s="18">
        <v>0</v>
      </c>
      <c r="K1236" s="18">
        <v>1</v>
      </c>
      <c r="T1236" s="3">
        <v>6</v>
      </c>
      <c r="U1236" s="3">
        <v>8</v>
      </c>
      <c r="V1236" s="3">
        <v>3</v>
      </c>
      <c r="X1236" s="2" t="s">
        <v>1080</v>
      </c>
      <c r="Y1236" s="18">
        <v>2</v>
      </c>
      <c r="Z1236" s="18">
        <v>0</v>
      </c>
      <c r="AA1236" s="18">
        <v>2</v>
      </c>
      <c r="AB1236" s="18">
        <v>1</v>
      </c>
      <c r="AC1236" s="18">
        <v>2</v>
      </c>
      <c r="AD1236" s="18">
        <v>3</v>
      </c>
      <c r="AE1236" s="18" t="s">
        <v>162</v>
      </c>
      <c r="AN1236" s="3">
        <v>10</v>
      </c>
      <c r="AO1236" s="3">
        <v>9</v>
      </c>
      <c r="AP1236" s="3">
        <v>3</v>
      </c>
      <c r="AR1236" s="2" t="s">
        <v>1081</v>
      </c>
    </row>
    <row r="1237" spans="1:44" ht="12.75" customHeight="1">
      <c r="A1237" s="4">
        <f>DATE(77,4,1)</f>
        <v>28216</v>
      </c>
      <c r="C1237" s="2" t="s">
        <v>367</v>
      </c>
      <c r="E1237" s="18">
        <v>0</v>
      </c>
      <c r="F1237" s="18">
        <v>1</v>
      </c>
      <c r="G1237" s="18">
        <v>2</v>
      </c>
      <c r="H1237" s="18">
        <v>2</v>
      </c>
      <c r="I1237" s="18">
        <v>0</v>
      </c>
      <c r="J1237" s="18">
        <v>1</v>
      </c>
      <c r="K1237" s="18" t="s">
        <v>162</v>
      </c>
      <c r="T1237" s="3">
        <v>6</v>
      </c>
      <c r="U1237" s="3">
        <v>8</v>
      </c>
      <c r="V1237" s="3">
        <v>1</v>
      </c>
      <c r="X1237" s="2" t="s">
        <v>1086</v>
      </c>
      <c r="Y1237" s="18">
        <v>0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N1237" s="3">
        <v>0</v>
      </c>
      <c r="AO1237" s="3">
        <v>3</v>
      </c>
      <c r="AP1237" s="3">
        <v>4</v>
      </c>
      <c r="AR1237" s="2" t="s">
        <v>1099</v>
      </c>
    </row>
    <row r="1238" spans="1:44" ht="12.75" customHeight="1">
      <c r="A1238" s="4">
        <f>DATE(77,5,21)</f>
        <v>28266</v>
      </c>
      <c r="C1238" s="2" t="s">
        <v>367</v>
      </c>
      <c r="D1238" s="2" t="s">
        <v>258</v>
      </c>
      <c r="E1238" s="18">
        <v>0</v>
      </c>
      <c r="F1238" s="18">
        <v>2</v>
      </c>
      <c r="G1238" s="18">
        <v>1</v>
      </c>
      <c r="H1238" s="18">
        <v>0</v>
      </c>
      <c r="I1238" s="18">
        <v>2</v>
      </c>
      <c r="J1238" s="18">
        <v>2</v>
      </c>
      <c r="K1238" s="18">
        <v>0</v>
      </c>
      <c r="T1238" s="3">
        <v>7</v>
      </c>
      <c r="U1238" s="3">
        <v>7</v>
      </c>
      <c r="V1238" s="3">
        <v>4</v>
      </c>
      <c r="X1238" s="2" t="s">
        <v>1064</v>
      </c>
      <c r="Y1238" s="18">
        <v>0</v>
      </c>
      <c r="Z1238" s="18">
        <v>0</v>
      </c>
      <c r="AA1238" s="18">
        <v>1</v>
      </c>
      <c r="AB1238" s="18">
        <v>0</v>
      </c>
      <c r="AC1238" s="18">
        <v>1</v>
      </c>
      <c r="AD1238" s="18">
        <v>0</v>
      </c>
      <c r="AE1238" s="18">
        <v>0</v>
      </c>
      <c r="AN1238" s="3">
        <v>2</v>
      </c>
      <c r="AO1238" s="3">
        <v>6</v>
      </c>
      <c r="AP1238" s="3">
        <v>2</v>
      </c>
      <c r="AR1238" s="2" t="s">
        <v>1138</v>
      </c>
    </row>
    <row r="1239" spans="1:44" ht="12.75" customHeight="1">
      <c r="A1239" s="4">
        <f>DATE(78,3,30)</f>
        <v>28579</v>
      </c>
      <c r="C1239" s="2" t="s">
        <v>367</v>
      </c>
      <c r="E1239" s="18">
        <v>0</v>
      </c>
      <c r="F1239" s="18">
        <v>2</v>
      </c>
      <c r="G1239" s="18">
        <v>1</v>
      </c>
      <c r="H1239" s="18">
        <v>0</v>
      </c>
      <c r="I1239" s="18">
        <v>2</v>
      </c>
      <c r="J1239" s="18">
        <v>1</v>
      </c>
      <c r="K1239" s="18" t="s">
        <v>162</v>
      </c>
      <c r="T1239" s="3">
        <v>6</v>
      </c>
      <c r="U1239" s="3">
        <v>4</v>
      </c>
      <c r="V1239" s="3">
        <v>4</v>
      </c>
      <c r="X1239" s="2" t="s">
        <v>1070</v>
      </c>
      <c r="Y1239" s="18">
        <v>0</v>
      </c>
      <c r="Z1239" s="18">
        <v>0</v>
      </c>
      <c r="AA1239" s="18">
        <v>0</v>
      </c>
      <c r="AB1239" s="18">
        <v>0</v>
      </c>
      <c r="AC1239" s="18">
        <v>0</v>
      </c>
      <c r="AD1239" s="18">
        <v>3</v>
      </c>
      <c r="AE1239" s="18">
        <v>0</v>
      </c>
      <c r="AN1239" s="3">
        <v>3</v>
      </c>
      <c r="AO1239" s="3">
        <v>4</v>
      </c>
      <c r="AP1239" s="3">
        <v>3</v>
      </c>
      <c r="AR1239" s="2" t="s">
        <v>1156</v>
      </c>
    </row>
    <row r="1240" spans="1:44" ht="12.75" customHeight="1">
      <c r="A1240" s="4">
        <f>DATE(79,4,21)</f>
        <v>28966</v>
      </c>
      <c r="B1240" s="2" t="s">
        <v>152</v>
      </c>
      <c r="C1240" s="2" t="s">
        <v>367</v>
      </c>
      <c r="E1240" s="18">
        <v>0</v>
      </c>
      <c r="F1240" s="18">
        <v>3</v>
      </c>
      <c r="G1240" s="18">
        <v>1</v>
      </c>
      <c r="H1240" s="18">
        <v>3</v>
      </c>
      <c r="I1240" s="18">
        <v>0</v>
      </c>
      <c r="J1240" s="18">
        <v>0</v>
      </c>
      <c r="K1240" s="18">
        <v>4</v>
      </c>
      <c r="T1240" s="3">
        <v>11</v>
      </c>
      <c r="U1240" s="3">
        <v>10</v>
      </c>
      <c r="V1240" s="3">
        <v>1</v>
      </c>
      <c r="X1240" s="2" t="s">
        <v>1149</v>
      </c>
      <c r="Y1240" s="18">
        <v>0</v>
      </c>
      <c r="Z1240" s="18">
        <v>0</v>
      </c>
      <c r="AA1240" s="18">
        <v>1</v>
      </c>
      <c r="AB1240" s="18">
        <v>0</v>
      </c>
      <c r="AC1240" s="18">
        <v>0</v>
      </c>
      <c r="AD1240" s="18">
        <v>0</v>
      </c>
      <c r="AE1240" s="18">
        <v>0</v>
      </c>
      <c r="AN1240" s="3">
        <v>1</v>
      </c>
      <c r="AO1240" s="3">
        <v>4</v>
      </c>
      <c r="AP1240" s="3">
        <v>3</v>
      </c>
      <c r="AR1240" s="2" t="s">
        <v>1204</v>
      </c>
    </row>
    <row r="1241" spans="1:44" ht="12.75" customHeight="1">
      <c r="A1241" s="4">
        <f>DATE(79,4,21)</f>
        <v>28966</v>
      </c>
      <c r="B1241" s="2" t="s">
        <v>152</v>
      </c>
      <c r="C1241" s="2" t="s">
        <v>367</v>
      </c>
      <c r="E1241" s="18">
        <v>0</v>
      </c>
      <c r="F1241" s="18">
        <v>0</v>
      </c>
      <c r="G1241" s="18">
        <v>11</v>
      </c>
      <c r="H1241" s="18">
        <v>0</v>
      </c>
      <c r="I1241" s="18">
        <v>1</v>
      </c>
      <c r="J1241" s="18">
        <v>2</v>
      </c>
      <c r="K1241" s="18">
        <v>0</v>
      </c>
      <c r="T1241" s="3">
        <v>14</v>
      </c>
      <c r="U1241" s="3">
        <v>12</v>
      </c>
      <c r="V1241" s="3">
        <v>3</v>
      </c>
      <c r="X1241" s="2" t="s">
        <v>1205</v>
      </c>
      <c r="Y1241" s="18">
        <v>0</v>
      </c>
      <c r="Z1241" s="18">
        <v>0</v>
      </c>
      <c r="AA1241" s="18">
        <v>0</v>
      </c>
      <c r="AB1241" s="18">
        <v>2</v>
      </c>
      <c r="AC1241" s="18">
        <v>1</v>
      </c>
      <c r="AD1241" s="18">
        <v>2</v>
      </c>
      <c r="AE1241" s="18">
        <v>0</v>
      </c>
      <c r="AN1241" s="3">
        <v>5</v>
      </c>
      <c r="AO1241" s="3">
        <v>7</v>
      </c>
      <c r="AP1241" s="3">
        <v>1</v>
      </c>
      <c r="AR1241" s="2" t="s">
        <v>1206</v>
      </c>
    </row>
    <row r="1242" spans="1:44" ht="12.75" customHeight="1">
      <c r="A1242" s="4">
        <f>DATE(80,4,19)</f>
        <v>29330</v>
      </c>
      <c r="C1242" s="2" t="s">
        <v>367</v>
      </c>
      <c r="E1242" s="18">
        <v>0</v>
      </c>
      <c r="F1242" s="18">
        <v>0</v>
      </c>
      <c r="G1242" s="18">
        <v>0</v>
      </c>
      <c r="H1242" s="18">
        <v>4</v>
      </c>
      <c r="I1242" s="18">
        <v>0</v>
      </c>
      <c r="J1242" s="18">
        <v>0</v>
      </c>
      <c r="K1242" s="18">
        <v>6</v>
      </c>
      <c r="T1242" s="3">
        <v>10</v>
      </c>
      <c r="U1242" s="3">
        <v>11</v>
      </c>
      <c r="V1242" s="3">
        <v>2</v>
      </c>
      <c r="X1242" s="2" t="s">
        <v>1218</v>
      </c>
      <c r="Y1242" s="18">
        <v>1</v>
      </c>
      <c r="Z1242" s="18">
        <v>0</v>
      </c>
      <c r="AA1242" s="18">
        <v>0</v>
      </c>
      <c r="AB1242" s="18">
        <v>3</v>
      </c>
      <c r="AC1242" s="18">
        <v>0</v>
      </c>
      <c r="AD1242" s="18">
        <v>3</v>
      </c>
      <c r="AE1242" s="18">
        <v>2</v>
      </c>
      <c r="AN1242" s="3">
        <v>9</v>
      </c>
      <c r="AO1242" s="3">
        <v>13</v>
      </c>
      <c r="AP1242" s="3">
        <v>3</v>
      </c>
      <c r="AR1242" s="2" t="s">
        <v>1253</v>
      </c>
    </row>
    <row r="1243" spans="1:44" ht="12.75" customHeight="1">
      <c r="A1243" s="4">
        <f>DATE(80,4,19)</f>
        <v>29330</v>
      </c>
      <c r="C1243" s="2" t="s">
        <v>367</v>
      </c>
      <c r="E1243" s="18">
        <v>1</v>
      </c>
      <c r="F1243" s="18">
        <v>2</v>
      </c>
      <c r="G1243" s="18">
        <v>1</v>
      </c>
      <c r="H1243" s="18">
        <v>1</v>
      </c>
      <c r="I1243" s="18">
        <v>0</v>
      </c>
      <c r="J1243" s="18">
        <v>2</v>
      </c>
      <c r="K1243" s="18">
        <v>0</v>
      </c>
      <c r="T1243" s="3">
        <v>7</v>
      </c>
      <c r="U1243" s="3">
        <v>7</v>
      </c>
      <c r="V1243" s="3">
        <v>2</v>
      </c>
      <c r="X1243" s="2" t="s">
        <v>1254</v>
      </c>
      <c r="Y1243" s="18">
        <v>0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  <c r="AE1243" s="18">
        <v>1</v>
      </c>
      <c r="AN1243" s="3">
        <v>1</v>
      </c>
      <c r="AO1243" s="3">
        <v>1</v>
      </c>
      <c r="AP1243" s="3">
        <v>6</v>
      </c>
      <c r="AR1243" s="2" t="s">
        <v>1255</v>
      </c>
    </row>
    <row r="1244" spans="1:44" ht="12.75" customHeight="1">
      <c r="A1244" s="4">
        <f>DATE(80,5,17)</f>
        <v>29358</v>
      </c>
      <c r="B1244" s="2" t="s">
        <v>152</v>
      </c>
      <c r="C1244" s="2" t="s">
        <v>367</v>
      </c>
      <c r="E1244" s="18">
        <v>0</v>
      </c>
      <c r="F1244" s="18">
        <v>0</v>
      </c>
      <c r="G1244" s="18">
        <v>2</v>
      </c>
      <c r="H1244" s="18">
        <v>1</v>
      </c>
      <c r="I1244" s="18">
        <v>0</v>
      </c>
      <c r="J1244" s="18">
        <v>0</v>
      </c>
      <c r="K1244" s="18">
        <v>0</v>
      </c>
      <c r="T1244" s="3">
        <v>3</v>
      </c>
      <c r="U1244" s="3">
        <v>7</v>
      </c>
      <c r="V1244" s="3">
        <v>6</v>
      </c>
      <c r="X1244" s="2" t="s">
        <v>1304</v>
      </c>
      <c r="Y1244" s="18">
        <v>3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  <c r="AE1244" s="18">
        <v>1</v>
      </c>
      <c r="AN1244" s="3">
        <v>4</v>
      </c>
      <c r="AO1244" s="3">
        <v>5</v>
      </c>
      <c r="AP1244" s="3">
        <v>3</v>
      </c>
      <c r="AR1244" s="2" t="s">
        <v>1305</v>
      </c>
    </row>
    <row r="1245" spans="1:44" ht="12.75" customHeight="1">
      <c r="A1245" s="4">
        <f>DATE(81,4,3)</f>
        <v>29679</v>
      </c>
      <c r="C1245" s="2" t="s">
        <v>367</v>
      </c>
      <c r="E1245" s="18">
        <v>1</v>
      </c>
      <c r="F1245" s="18">
        <v>0</v>
      </c>
      <c r="G1245" s="18">
        <v>4</v>
      </c>
      <c r="H1245" s="18">
        <v>0</v>
      </c>
      <c r="I1245" s="18">
        <v>1</v>
      </c>
      <c r="J1245" s="18">
        <v>2</v>
      </c>
      <c r="K1245" s="18" t="s">
        <v>162</v>
      </c>
      <c r="T1245" s="3">
        <v>8</v>
      </c>
      <c r="U1245" s="3">
        <v>7</v>
      </c>
      <c r="V1245" s="3">
        <v>0</v>
      </c>
      <c r="X1245" s="2" t="s">
        <v>1256</v>
      </c>
      <c r="Y1245" s="18">
        <v>1</v>
      </c>
      <c r="Z1245" s="18">
        <v>0</v>
      </c>
      <c r="AA1245" s="18">
        <v>0</v>
      </c>
      <c r="AB1245" s="18">
        <v>0</v>
      </c>
      <c r="AC1245" s="18">
        <v>0</v>
      </c>
      <c r="AD1245" s="18">
        <v>1</v>
      </c>
      <c r="AE1245" s="18">
        <v>0</v>
      </c>
      <c r="AN1245" s="3">
        <v>2</v>
      </c>
      <c r="AO1245" s="3">
        <v>4</v>
      </c>
      <c r="AP1245" s="3">
        <v>1</v>
      </c>
      <c r="AR1245" s="2" t="s">
        <v>1322</v>
      </c>
    </row>
    <row r="1246" spans="1:44" ht="12.75" customHeight="1">
      <c r="A1246" s="4">
        <f>DATE(81,5,20)</f>
        <v>29726</v>
      </c>
      <c r="B1246" s="2" t="s">
        <v>239</v>
      </c>
      <c r="C1246" s="2" t="s">
        <v>367</v>
      </c>
      <c r="D1246" s="2" t="s">
        <v>258</v>
      </c>
      <c r="E1246" s="18">
        <v>0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T1246" s="3">
        <v>0</v>
      </c>
      <c r="U1246" s="3">
        <v>3</v>
      </c>
      <c r="V1246" s="3">
        <v>4</v>
      </c>
      <c r="X1246" s="2" t="s">
        <v>1341</v>
      </c>
      <c r="Y1246" s="18">
        <v>0</v>
      </c>
      <c r="Z1246" s="18">
        <v>0</v>
      </c>
      <c r="AA1246" s="18">
        <v>1</v>
      </c>
      <c r="AB1246" s="18">
        <v>1</v>
      </c>
      <c r="AC1246" s="18">
        <v>1</v>
      </c>
      <c r="AD1246" s="18">
        <v>0</v>
      </c>
      <c r="AE1246" s="18">
        <v>0</v>
      </c>
      <c r="AN1246" s="3">
        <v>3</v>
      </c>
      <c r="AO1246" s="3">
        <v>3</v>
      </c>
      <c r="AP1246" s="3">
        <v>0</v>
      </c>
      <c r="AR1246" s="2" t="s">
        <v>1353</v>
      </c>
    </row>
    <row r="1247" spans="1:44" ht="12.75" customHeight="1">
      <c r="A1247" s="4">
        <f>DATE(82,4,1)</f>
        <v>30042</v>
      </c>
      <c r="C1247" s="2" t="s">
        <v>367</v>
      </c>
      <c r="E1247" s="18">
        <v>0</v>
      </c>
      <c r="F1247" s="18">
        <v>0</v>
      </c>
      <c r="G1247" s="18">
        <v>0</v>
      </c>
      <c r="H1247" s="18">
        <v>4</v>
      </c>
      <c r="I1247" s="18">
        <v>5</v>
      </c>
      <c r="J1247" s="18">
        <v>3</v>
      </c>
      <c r="K1247" s="18" t="s">
        <v>162</v>
      </c>
      <c r="T1247" s="3">
        <v>12</v>
      </c>
      <c r="U1247" s="3">
        <v>12</v>
      </c>
      <c r="V1247" s="3">
        <v>3</v>
      </c>
      <c r="X1247" s="2" t="s">
        <v>1369</v>
      </c>
      <c r="Y1247" s="18">
        <v>0</v>
      </c>
      <c r="Z1247" s="18">
        <v>1</v>
      </c>
      <c r="AA1247" s="18">
        <v>2</v>
      </c>
      <c r="AB1247" s="18">
        <v>1</v>
      </c>
      <c r="AC1247" s="18">
        <v>0</v>
      </c>
      <c r="AD1247" s="18">
        <v>0</v>
      </c>
      <c r="AE1247" s="18">
        <v>0</v>
      </c>
      <c r="AN1247" s="3">
        <v>4</v>
      </c>
      <c r="AO1247" s="3">
        <v>8</v>
      </c>
      <c r="AP1247" s="3">
        <v>2</v>
      </c>
      <c r="AR1247" s="2" t="s">
        <v>1322</v>
      </c>
    </row>
    <row r="1248" spans="1:44" ht="12.75" customHeight="1">
      <c r="A1248" s="4">
        <f>DATE(82,4,24)</f>
        <v>30065</v>
      </c>
      <c r="B1248" s="2" t="s">
        <v>152</v>
      </c>
      <c r="C1248" s="2" t="s">
        <v>367</v>
      </c>
      <c r="E1248" s="18">
        <v>3</v>
      </c>
      <c r="F1248" s="18">
        <v>0</v>
      </c>
      <c r="G1248" s="18">
        <v>1</v>
      </c>
      <c r="H1248" s="18">
        <v>0</v>
      </c>
      <c r="I1248" s="18">
        <v>0</v>
      </c>
      <c r="J1248" s="18">
        <v>5</v>
      </c>
      <c r="K1248" s="18">
        <v>4</v>
      </c>
      <c r="T1248" s="3">
        <v>13</v>
      </c>
      <c r="U1248" s="3">
        <v>14</v>
      </c>
      <c r="V1248" s="3">
        <v>4</v>
      </c>
      <c r="X1248" s="2" t="s">
        <v>1329</v>
      </c>
      <c r="Y1248" s="18">
        <v>0</v>
      </c>
      <c r="Z1248" s="18">
        <v>1</v>
      </c>
      <c r="AA1248" s="18">
        <v>1</v>
      </c>
      <c r="AB1248" s="18">
        <v>0</v>
      </c>
      <c r="AC1248" s="18">
        <v>0</v>
      </c>
      <c r="AD1248" s="18">
        <v>1</v>
      </c>
      <c r="AE1248" s="18" t="s">
        <v>162</v>
      </c>
      <c r="AN1248" s="3">
        <v>3</v>
      </c>
      <c r="AO1248" s="3">
        <v>2</v>
      </c>
      <c r="AP1248" s="3">
        <v>0</v>
      </c>
      <c r="AR1248" s="2" t="s">
        <v>1377</v>
      </c>
    </row>
    <row r="1249" spans="1:44" ht="12.75" customHeight="1">
      <c r="A1249" s="4">
        <f>DATE(82,4,24)</f>
        <v>30065</v>
      </c>
      <c r="B1249" s="2" t="s">
        <v>152</v>
      </c>
      <c r="C1249" s="2" t="s">
        <v>367</v>
      </c>
      <c r="E1249" s="18">
        <v>6</v>
      </c>
      <c r="F1249" s="18">
        <v>0</v>
      </c>
      <c r="G1249" s="18">
        <v>0</v>
      </c>
      <c r="H1249" s="18">
        <v>0</v>
      </c>
      <c r="I1249" s="18">
        <v>2</v>
      </c>
      <c r="J1249" s="18">
        <v>1</v>
      </c>
      <c r="K1249" s="18">
        <v>0</v>
      </c>
      <c r="T1249" s="3">
        <v>9</v>
      </c>
      <c r="U1249" s="3">
        <v>9</v>
      </c>
      <c r="V1249" s="3">
        <v>2</v>
      </c>
      <c r="X1249" s="2" t="s">
        <v>1378</v>
      </c>
      <c r="Y1249" s="18">
        <v>0</v>
      </c>
      <c r="Z1249" s="18">
        <v>2</v>
      </c>
      <c r="AA1249" s="18">
        <v>1</v>
      </c>
      <c r="AB1249" s="18">
        <v>0</v>
      </c>
      <c r="AC1249" s="18">
        <v>0</v>
      </c>
      <c r="AD1249" s="18">
        <v>1</v>
      </c>
      <c r="AE1249" s="18">
        <v>0</v>
      </c>
      <c r="AN1249" s="3">
        <v>4</v>
      </c>
      <c r="AO1249" s="3">
        <v>5</v>
      </c>
      <c r="AP1249" s="3">
        <v>6</v>
      </c>
      <c r="AR1249" s="2" t="s">
        <v>1379</v>
      </c>
    </row>
    <row r="1250" spans="1:44" ht="12.75" customHeight="1">
      <c r="A1250" s="4">
        <f>DATE(83,4,23)</f>
        <v>30429</v>
      </c>
      <c r="C1250" s="2" t="s">
        <v>367</v>
      </c>
      <c r="E1250" s="18">
        <v>0</v>
      </c>
      <c r="F1250" s="18">
        <v>8</v>
      </c>
      <c r="G1250" s="18">
        <v>3</v>
      </c>
      <c r="H1250" s="18">
        <v>3</v>
      </c>
      <c r="I1250" s="18" t="s">
        <v>162</v>
      </c>
      <c r="T1250" s="3">
        <v>14</v>
      </c>
      <c r="U1250" s="3">
        <v>11</v>
      </c>
      <c r="V1250" s="3">
        <v>3</v>
      </c>
      <c r="X1250" s="2" t="s">
        <v>1410</v>
      </c>
      <c r="Y1250" s="18">
        <v>0</v>
      </c>
      <c r="Z1250" s="18">
        <v>0</v>
      </c>
      <c r="AA1250" s="18">
        <v>0</v>
      </c>
      <c r="AB1250" s="18">
        <v>0</v>
      </c>
      <c r="AC1250" s="18">
        <v>0</v>
      </c>
      <c r="AN1250" s="3">
        <v>0</v>
      </c>
      <c r="AO1250" s="3">
        <v>2</v>
      </c>
      <c r="AP1250" s="3">
        <v>4</v>
      </c>
      <c r="AR1250" s="2" t="s">
        <v>1411</v>
      </c>
    </row>
    <row r="1251" spans="1:44" ht="12.75" customHeight="1">
      <c r="A1251" s="4">
        <f>DATE(83,4,23)</f>
        <v>30429</v>
      </c>
      <c r="C1251" s="2" t="s">
        <v>367</v>
      </c>
      <c r="E1251" s="18">
        <v>3</v>
      </c>
      <c r="F1251" s="18">
        <v>2</v>
      </c>
      <c r="G1251" s="18">
        <v>0</v>
      </c>
      <c r="H1251" s="18">
        <v>0</v>
      </c>
      <c r="I1251" s="18">
        <v>0</v>
      </c>
      <c r="J1251" s="18">
        <v>0</v>
      </c>
      <c r="K1251" s="18">
        <v>0</v>
      </c>
      <c r="T1251" s="3">
        <v>5</v>
      </c>
      <c r="U1251" s="3">
        <v>10</v>
      </c>
      <c r="V1251" s="3">
        <v>5</v>
      </c>
      <c r="X1251" s="2" t="s">
        <v>1412</v>
      </c>
      <c r="Y1251" s="18">
        <v>0</v>
      </c>
      <c r="Z1251" s="18">
        <v>2</v>
      </c>
      <c r="AA1251" s="18">
        <v>2</v>
      </c>
      <c r="AB1251" s="18">
        <v>0</v>
      </c>
      <c r="AC1251" s="18">
        <v>3</v>
      </c>
      <c r="AD1251" s="18">
        <v>0</v>
      </c>
      <c r="AE1251" s="18">
        <v>4</v>
      </c>
      <c r="AN1251" s="3">
        <v>11</v>
      </c>
      <c r="AO1251" s="3">
        <v>12</v>
      </c>
      <c r="AP1251" s="3">
        <v>2</v>
      </c>
      <c r="AR1251" s="2" t="s">
        <v>1413</v>
      </c>
    </row>
    <row r="1252" spans="1:44" ht="12.75" customHeight="1">
      <c r="A1252" s="4">
        <f>DATE(83,5,7)</f>
        <v>30443</v>
      </c>
      <c r="B1252" s="2" t="s">
        <v>152</v>
      </c>
      <c r="C1252" s="2" t="s">
        <v>367</v>
      </c>
      <c r="E1252" s="18">
        <v>2</v>
      </c>
      <c r="F1252" s="18">
        <v>0</v>
      </c>
      <c r="G1252" s="18">
        <v>1</v>
      </c>
      <c r="H1252" s="18">
        <v>1</v>
      </c>
      <c r="I1252" s="18">
        <v>0</v>
      </c>
      <c r="J1252" s="18">
        <v>1</v>
      </c>
      <c r="K1252" s="18">
        <v>0</v>
      </c>
      <c r="T1252" s="3">
        <v>5</v>
      </c>
      <c r="U1252" s="3">
        <v>8</v>
      </c>
      <c r="V1252" s="3">
        <v>2</v>
      </c>
      <c r="X1252" s="2" t="s">
        <v>1399</v>
      </c>
      <c r="Y1252" s="18">
        <v>0</v>
      </c>
      <c r="Z1252" s="18">
        <v>3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N1252" s="3">
        <v>3</v>
      </c>
      <c r="AO1252" s="3">
        <v>2</v>
      </c>
      <c r="AP1252" s="3">
        <v>3</v>
      </c>
      <c r="AR1252" s="2" t="s">
        <v>1431</v>
      </c>
    </row>
    <row r="1253" spans="1:44" ht="12.75" customHeight="1">
      <c r="A1253" s="4">
        <f>DATE(84,4,11)</f>
        <v>30783</v>
      </c>
      <c r="C1253" s="2" t="s">
        <v>367</v>
      </c>
      <c r="E1253" s="18">
        <v>5</v>
      </c>
      <c r="F1253" s="18">
        <v>1</v>
      </c>
      <c r="G1253" s="18">
        <v>6</v>
      </c>
      <c r="H1253" s="18">
        <v>0</v>
      </c>
      <c r="I1253" s="18" t="s">
        <v>162</v>
      </c>
      <c r="T1253" s="3">
        <v>12</v>
      </c>
      <c r="U1253" s="3">
        <v>9</v>
      </c>
      <c r="V1253" s="3">
        <v>0</v>
      </c>
      <c r="X1253" s="2" t="s">
        <v>1443</v>
      </c>
      <c r="Y1253" s="18">
        <v>0</v>
      </c>
      <c r="Z1253" s="18">
        <v>0</v>
      </c>
      <c r="AA1253" s="18">
        <v>0</v>
      </c>
      <c r="AB1253" s="18">
        <v>0</v>
      </c>
      <c r="AC1253" s="18">
        <v>0</v>
      </c>
      <c r="AN1253" s="3">
        <v>0</v>
      </c>
      <c r="AO1253" s="3">
        <v>0</v>
      </c>
      <c r="AP1253" s="3">
        <v>4</v>
      </c>
      <c r="AR1253" s="2" t="s">
        <v>1454</v>
      </c>
    </row>
    <row r="1254" spans="1:44" ht="12.75" customHeight="1">
      <c r="A1254" s="4">
        <f>DATE(84,5,5)</f>
        <v>30807</v>
      </c>
      <c r="B1254" s="2" t="s">
        <v>152</v>
      </c>
      <c r="C1254" s="2" t="s">
        <v>367</v>
      </c>
      <c r="E1254" s="18">
        <v>4</v>
      </c>
      <c r="F1254" s="18">
        <v>0</v>
      </c>
      <c r="G1254" s="18">
        <v>2</v>
      </c>
      <c r="H1254" s="18">
        <v>1</v>
      </c>
      <c r="I1254" s="18">
        <v>0</v>
      </c>
      <c r="J1254" s="18">
        <v>1</v>
      </c>
      <c r="K1254" s="18">
        <v>0</v>
      </c>
      <c r="T1254" s="3">
        <v>8</v>
      </c>
      <c r="U1254" s="3">
        <v>13</v>
      </c>
      <c r="V1254" s="3">
        <v>4</v>
      </c>
      <c r="X1254" s="2" t="s">
        <v>1469</v>
      </c>
      <c r="Y1254" s="18">
        <v>0</v>
      </c>
      <c r="Z1254" s="18">
        <v>0</v>
      </c>
      <c r="AA1254" s="18">
        <v>1</v>
      </c>
      <c r="AB1254" s="18">
        <v>0</v>
      </c>
      <c r="AC1254" s="18">
        <v>1</v>
      </c>
      <c r="AD1254" s="18">
        <v>2</v>
      </c>
      <c r="AE1254" s="18">
        <v>0</v>
      </c>
      <c r="AN1254" s="3">
        <v>4</v>
      </c>
      <c r="AO1254" s="3">
        <v>2</v>
      </c>
      <c r="AP1254" s="3">
        <v>1</v>
      </c>
      <c r="AR1254" s="2" t="s">
        <v>1379</v>
      </c>
    </row>
    <row r="1255" spans="1:44" ht="12.75" customHeight="1">
      <c r="A1255" s="4">
        <f>DATE(84,5,5)</f>
        <v>30807</v>
      </c>
      <c r="B1255" s="2" t="s">
        <v>152</v>
      </c>
      <c r="C1255" s="2" t="s">
        <v>367</v>
      </c>
      <c r="E1255" s="18">
        <v>1</v>
      </c>
      <c r="F1255" s="18">
        <v>0</v>
      </c>
      <c r="G1255" s="18">
        <v>0</v>
      </c>
      <c r="H1255" s="18">
        <v>2</v>
      </c>
      <c r="I1255" s="18">
        <v>0</v>
      </c>
      <c r="J1255" s="18">
        <v>1</v>
      </c>
      <c r="K1255" s="18">
        <v>0</v>
      </c>
      <c r="T1255" s="3">
        <v>4</v>
      </c>
      <c r="U1255" s="3">
        <v>8</v>
      </c>
      <c r="V1255" s="3">
        <v>2</v>
      </c>
      <c r="X1255" s="2" t="s">
        <v>1450</v>
      </c>
      <c r="Y1255" s="18">
        <v>0</v>
      </c>
      <c r="Z1255" s="18">
        <v>0</v>
      </c>
      <c r="AA1255" s="18">
        <v>0</v>
      </c>
      <c r="AB1255" s="18">
        <v>0</v>
      </c>
      <c r="AC1255" s="18">
        <v>1</v>
      </c>
      <c r="AD1255" s="18">
        <v>0</v>
      </c>
      <c r="AE1255" s="18">
        <v>0</v>
      </c>
      <c r="AN1255" s="3">
        <v>1</v>
      </c>
      <c r="AO1255" s="3">
        <v>3</v>
      </c>
      <c r="AP1255" s="3">
        <v>3</v>
      </c>
      <c r="AR1255" s="2" t="s">
        <v>320</v>
      </c>
    </row>
    <row r="1256" spans="1:44" ht="12.75" customHeight="1">
      <c r="A1256" s="4">
        <f>DATE(84,5,24)</f>
        <v>30826</v>
      </c>
      <c r="B1256" s="2" t="s">
        <v>239</v>
      </c>
      <c r="C1256" s="2" t="s">
        <v>367</v>
      </c>
      <c r="D1256" s="2" t="s">
        <v>258</v>
      </c>
      <c r="E1256" s="18">
        <v>2</v>
      </c>
      <c r="F1256" s="18">
        <v>3</v>
      </c>
      <c r="G1256" s="18">
        <v>1</v>
      </c>
      <c r="H1256" s="18">
        <v>5</v>
      </c>
      <c r="I1256" s="18" t="s">
        <v>162</v>
      </c>
      <c r="T1256" s="3">
        <v>11</v>
      </c>
      <c r="U1256" s="3">
        <v>8</v>
      </c>
      <c r="V1256" s="3">
        <v>0</v>
      </c>
      <c r="X1256" s="2" t="s">
        <v>1366</v>
      </c>
      <c r="Y1256" s="18">
        <v>0</v>
      </c>
      <c r="Z1256" s="18">
        <v>0</v>
      </c>
      <c r="AA1256" s="18">
        <v>0</v>
      </c>
      <c r="AB1256" s="18">
        <v>0</v>
      </c>
      <c r="AC1256" s="18">
        <v>0</v>
      </c>
      <c r="AN1256" s="3">
        <v>0</v>
      </c>
      <c r="AO1256" s="3">
        <v>0</v>
      </c>
      <c r="AP1256" s="3">
        <v>4</v>
      </c>
      <c r="AR1256" s="2" t="s">
        <v>1475</v>
      </c>
    </row>
    <row r="1257" spans="1:44" ht="12.75" customHeight="1">
      <c r="A1257" s="4">
        <f>DATE(85,4,27)</f>
        <v>31164</v>
      </c>
      <c r="C1257" s="2" t="s">
        <v>367</v>
      </c>
      <c r="E1257" s="18">
        <v>0</v>
      </c>
      <c r="F1257" s="18">
        <v>1</v>
      </c>
      <c r="G1257" s="18">
        <v>5</v>
      </c>
      <c r="H1257" s="18">
        <v>1</v>
      </c>
      <c r="I1257" s="18">
        <v>0</v>
      </c>
      <c r="J1257" s="18">
        <v>3</v>
      </c>
      <c r="T1257" s="3">
        <v>10</v>
      </c>
      <c r="U1257" s="3">
        <v>13</v>
      </c>
      <c r="V1257" s="3">
        <v>2</v>
      </c>
      <c r="X1257" s="2" t="s">
        <v>1448</v>
      </c>
      <c r="Y1257" s="18">
        <v>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  <c r="AN1257" s="3">
        <v>0</v>
      </c>
      <c r="AO1257" s="3">
        <v>3</v>
      </c>
      <c r="AP1257" s="3">
        <v>4</v>
      </c>
      <c r="AR1257" s="2" t="s">
        <v>1501</v>
      </c>
    </row>
    <row r="1258" spans="1:44" ht="12.75" customHeight="1">
      <c r="A1258" s="4">
        <f>DATE(86,4,5)</f>
        <v>31507</v>
      </c>
      <c r="B1258" s="2" t="s">
        <v>152</v>
      </c>
      <c r="C1258" s="2" t="s">
        <v>367</v>
      </c>
      <c r="E1258" s="18">
        <v>2</v>
      </c>
      <c r="F1258" s="18">
        <v>0</v>
      </c>
      <c r="G1258" s="18">
        <v>2</v>
      </c>
      <c r="H1258" s="18">
        <v>2</v>
      </c>
      <c r="I1258" s="18">
        <v>3</v>
      </c>
      <c r="J1258" s="18">
        <v>8</v>
      </c>
      <c r="T1258" s="3">
        <v>17</v>
      </c>
      <c r="U1258" s="3">
        <v>16</v>
      </c>
      <c r="V1258" s="3">
        <v>3</v>
      </c>
      <c r="X1258" s="2" t="s">
        <v>1516</v>
      </c>
      <c r="Y1258" s="18">
        <v>0</v>
      </c>
      <c r="Z1258" s="18">
        <v>1</v>
      </c>
      <c r="AA1258" s="18">
        <v>1</v>
      </c>
      <c r="AB1258" s="18">
        <v>1</v>
      </c>
      <c r="AC1258" s="18">
        <v>1</v>
      </c>
      <c r="AD1258" s="18">
        <v>0</v>
      </c>
      <c r="AN1258" s="3">
        <v>4</v>
      </c>
      <c r="AO1258" s="3">
        <v>6</v>
      </c>
      <c r="AP1258" s="3">
        <v>5</v>
      </c>
      <c r="AR1258" s="2" t="s">
        <v>1525</v>
      </c>
    </row>
    <row r="1259" spans="1:44" ht="12.75" customHeight="1">
      <c r="A1259" s="4">
        <f>DATE(87,5,11)</f>
        <v>31908</v>
      </c>
      <c r="C1259" s="2" t="s">
        <v>367</v>
      </c>
      <c r="E1259" s="18">
        <v>0</v>
      </c>
      <c r="F1259" s="18">
        <v>2</v>
      </c>
      <c r="G1259" s="18">
        <v>5</v>
      </c>
      <c r="H1259" s="18">
        <v>0</v>
      </c>
      <c r="I1259" s="18">
        <v>2</v>
      </c>
      <c r="J1259" s="18">
        <v>0</v>
      </c>
      <c r="K1259" s="18" t="s">
        <v>162</v>
      </c>
      <c r="T1259" s="3">
        <v>9</v>
      </c>
      <c r="U1259" s="3">
        <v>15</v>
      </c>
      <c r="V1259" s="3">
        <v>0</v>
      </c>
      <c r="X1259" s="2" t="s">
        <v>1556</v>
      </c>
      <c r="Y1259" s="18">
        <v>0</v>
      </c>
      <c r="Z1259" s="18">
        <v>0</v>
      </c>
      <c r="AA1259" s="18">
        <v>2</v>
      </c>
      <c r="AB1259" s="18">
        <v>0</v>
      </c>
      <c r="AC1259" s="18">
        <v>0</v>
      </c>
      <c r="AD1259" s="18">
        <v>0</v>
      </c>
      <c r="AE1259" s="18">
        <v>0</v>
      </c>
      <c r="AN1259" s="3">
        <v>2</v>
      </c>
      <c r="AO1259" s="3">
        <v>3</v>
      </c>
      <c r="AP1259" s="3">
        <v>0</v>
      </c>
      <c r="AR1259" s="2" t="s">
        <v>1583</v>
      </c>
    </row>
    <row r="1260" spans="1:44" ht="12.75" customHeight="1">
      <c r="A1260" s="4">
        <f>DATE(87,5,21)</f>
        <v>31918</v>
      </c>
      <c r="B1260" s="2" t="s">
        <v>239</v>
      </c>
      <c r="C1260" s="2" t="s">
        <v>367</v>
      </c>
      <c r="D1260" s="2" t="s">
        <v>258</v>
      </c>
      <c r="E1260" s="18">
        <v>0</v>
      </c>
      <c r="F1260" s="18">
        <v>1</v>
      </c>
      <c r="G1260" s="18">
        <v>3</v>
      </c>
      <c r="H1260" s="18">
        <v>0</v>
      </c>
      <c r="I1260" s="18">
        <v>0</v>
      </c>
      <c r="J1260" s="18">
        <v>0</v>
      </c>
      <c r="K1260" s="18">
        <v>0</v>
      </c>
      <c r="T1260" s="3">
        <v>4</v>
      </c>
      <c r="U1260" s="3">
        <v>6</v>
      </c>
      <c r="V1260" s="3">
        <v>1</v>
      </c>
      <c r="X1260" s="2" t="s">
        <v>1559</v>
      </c>
      <c r="Y1260" s="18">
        <v>0</v>
      </c>
      <c r="Z1260" s="18">
        <v>0</v>
      </c>
      <c r="AA1260" s="18">
        <v>0</v>
      </c>
      <c r="AB1260" s="18">
        <v>0</v>
      </c>
      <c r="AC1260" s="18">
        <v>0</v>
      </c>
      <c r="AD1260" s="18">
        <v>1</v>
      </c>
      <c r="AE1260" s="18">
        <v>1</v>
      </c>
      <c r="AN1260" s="3">
        <v>2</v>
      </c>
      <c r="AO1260" s="3">
        <v>7</v>
      </c>
      <c r="AP1260" s="3">
        <v>2</v>
      </c>
      <c r="AR1260" s="2" t="s">
        <v>1587</v>
      </c>
    </row>
    <row r="1261" spans="1:44" ht="12.75" customHeight="1">
      <c r="A1261" s="4">
        <f>DATE(88,4,9)</f>
        <v>32242</v>
      </c>
      <c r="B1261" s="2" t="s">
        <v>152</v>
      </c>
      <c r="C1261" s="2" t="s">
        <v>367</v>
      </c>
      <c r="E1261" s="18">
        <v>4</v>
      </c>
      <c r="F1261" s="18">
        <v>2</v>
      </c>
      <c r="G1261" s="18">
        <v>0</v>
      </c>
      <c r="H1261" s="18">
        <v>0</v>
      </c>
      <c r="I1261" s="18">
        <v>3</v>
      </c>
      <c r="J1261" s="18">
        <v>0</v>
      </c>
      <c r="K1261" s="18">
        <v>1</v>
      </c>
      <c r="T1261" s="3">
        <v>10</v>
      </c>
      <c r="U1261" s="3">
        <v>7</v>
      </c>
      <c r="V1261" s="3">
        <v>4</v>
      </c>
      <c r="X1261" s="2" t="s">
        <v>1601</v>
      </c>
      <c r="Y1261" s="18">
        <v>1</v>
      </c>
      <c r="Z1261" s="18">
        <v>0</v>
      </c>
      <c r="AA1261" s="18">
        <v>0</v>
      </c>
      <c r="AB1261" s="18">
        <v>0</v>
      </c>
      <c r="AC1261" s="18">
        <v>4</v>
      </c>
      <c r="AD1261" s="18">
        <v>0</v>
      </c>
      <c r="AE1261" s="18">
        <v>0</v>
      </c>
      <c r="AN1261" s="3">
        <v>5</v>
      </c>
      <c r="AO1261" s="3">
        <v>7</v>
      </c>
      <c r="AP1261" s="3">
        <v>3</v>
      </c>
      <c r="AR1261" s="2" t="s">
        <v>1602</v>
      </c>
    </row>
    <row r="1262" spans="1:44" ht="12.75" customHeight="1">
      <c r="A1262" s="4">
        <f>DATE(88,5,24)</f>
        <v>32287</v>
      </c>
      <c r="B1262" s="2" t="s">
        <v>239</v>
      </c>
      <c r="C1262" s="2" t="s">
        <v>367</v>
      </c>
      <c r="D1262" s="2" t="s">
        <v>258</v>
      </c>
      <c r="E1262" s="18">
        <v>2</v>
      </c>
      <c r="F1262" s="18">
        <v>5</v>
      </c>
      <c r="G1262" s="18">
        <v>0</v>
      </c>
      <c r="H1262" s="18">
        <v>6</v>
      </c>
      <c r="I1262" s="18" t="s">
        <v>162</v>
      </c>
      <c r="T1262" s="3">
        <v>13</v>
      </c>
      <c r="U1262" s="3">
        <v>13</v>
      </c>
      <c r="V1262" s="3">
        <v>2</v>
      </c>
      <c r="X1262" s="2" t="s">
        <v>1624</v>
      </c>
      <c r="Y1262" s="18">
        <v>2</v>
      </c>
      <c r="Z1262" s="18">
        <v>0</v>
      </c>
      <c r="AA1262" s="18">
        <v>0</v>
      </c>
      <c r="AB1262" s="18">
        <v>0</v>
      </c>
      <c r="AC1262" s="18">
        <v>0</v>
      </c>
      <c r="AN1262" s="3">
        <v>2</v>
      </c>
      <c r="AO1262" s="3">
        <v>4</v>
      </c>
      <c r="AP1262" s="3">
        <v>2</v>
      </c>
      <c r="AR1262" s="2" t="s">
        <v>1625</v>
      </c>
    </row>
    <row r="1263" spans="1:44" ht="12.75" customHeight="1">
      <c r="A1263" s="4">
        <f>DATE(89,4,8)</f>
        <v>32606</v>
      </c>
      <c r="C1263" s="2" t="s">
        <v>367</v>
      </c>
      <c r="E1263" s="18">
        <v>3</v>
      </c>
      <c r="F1263" s="18">
        <v>1</v>
      </c>
      <c r="G1263" s="18">
        <v>0</v>
      </c>
      <c r="H1263" s="18">
        <v>0</v>
      </c>
      <c r="I1263" s="18">
        <v>0</v>
      </c>
      <c r="J1263" s="18">
        <v>5</v>
      </c>
      <c r="K1263" s="18" t="s">
        <v>162</v>
      </c>
      <c r="T1263" s="3">
        <v>9</v>
      </c>
      <c r="U1263" s="3">
        <v>8</v>
      </c>
      <c r="V1263" s="3">
        <v>0</v>
      </c>
      <c r="X1263" s="2" t="s">
        <v>1636</v>
      </c>
      <c r="Y1263" s="18">
        <v>0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  <c r="AE1263" s="18">
        <v>0</v>
      </c>
      <c r="AN1263" s="3">
        <v>0</v>
      </c>
      <c r="AO1263" s="3">
        <v>6</v>
      </c>
      <c r="AP1263" s="3">
        <v>2</v>
      </c>
      <c r="AR1263" s="2" t="s">
        <v>1637</v>
      </c>
    </row>
    <row r="1264" spans="1:44" ht="12.75" customHeight="1">
      <c r="A1264" s="4">
        <f>DATE(89,5,24)</f>
        <v>32652</v>
      </c>
      <c r="B1264" s="2" t="s">
        <v>239</v>
      </c>
      <c r="C1264" s="2" t="s">
        <v>367</v>
      </c>
      <c r="D1264" s="2" t="s">
        <v>258</v>
      </c>
      <c r="E1264" s="18">
        <v>0</v>
      </c>
      <c r="F1264" s="18">
        <v>1</v>
      </c>
      <c r="G1264" s="18">
        <v>0</v>
      </c>
      <c r="H1264" s="18">
        <v>2</v>
      </c>
      <c r="I1264" s="18">
        <v>3</v>
      </c>
      <c r="J1264" s="18">
        <v>0</v>
      </c>
      <c r="K1264" s="18" t="s">
        <v>162</v>
      </c>
      <c r="T1264" s="3">
        <v>6</v>
      </c>
      <c r="U1264" s="3">
        <v>8</v>
      </c>
      <c r="V1264" s="3">
        <v>0</v>
      </c>
      <c r="X1264" s="2" t="s">
        <v>1656</v>
      </c>
      <c r="Y1264" s="18">
        <v>0</v>
      </c>
      <c r="Z1264" s="18">
        <v>0</v>
      </c>
      <c r="AA1264" s="18">
        <v>0</v>
      </c>
      <c r="AB1264" s="18">
        <v>0</v>
      </c>
      <c r="AC1264" s="18">
        <v>1</v>
      </c>
      <c r="AD1264" s="18">
        <v>0</v>
      </c>
      <c r="AE1264" s="18">
        <v>0</v>
      </c>
      <c r="AN1264" s="3">
        <v>1</v>
      </c>
      <c r="AO1264" s="3">
        <v>5</v>
      </c>
      <c r="AP1264" s="3">
        <v>1</v>
      </c>
      <c r="AR1264" s="2" t="s">
        <v>1660</v>
      </c>
    </row>
    <row r="1265" spans="1:44" ht="12.75" customHeight="1">
      <c r="A1265" s="4">
        <f>DATE(90,4,28)</f>
        <v>32991</v>
      </c>
      <c r="B1265" s="2" t="s">
        <v>152</v>
      </c>
      <c r="C1265" s="2" t="s">
        <v>367</v>
      </c>
      <c r="E1265" s="18">
        <v>0</v>
      </c>
      <c r="F1265" s="18">
        <v>7</v>
      </c>
      <c r="G1265" s="18">
        <v>3</v>
      </c>
      <c r="H1265" s="18">
        <v>1</v>
      </c>
      <c r="I1265" s="18">
        <v>1</v>
      </c>
      <c r="T1265" s="3">
        <v>12</v>
      </c>
      <c r="U1265" s="3">
        <v>7</v>
      </c>
      <c r="V1265" s="3">
        <v>0</v>
      </c>
      <c r="X1265" s="2" t="s">
        <v>1697</v>
      </c>
      <c r="Y1265" s="18">
        <v>0</v>
      </c>
      <c r="Z1265" s="18">
        <v>0</v>
      </c>
      <c r="AA1265" s="18">
        <v>0</v>
      </c>
      <c r="AB1265" s="18">
        <v>0</v>
      </c>
      <c r="AC1265" s="18">
        <v>0</v>
      </c>
      <c r="AN1265" s="3">
        <v>0</v>
      </c>
      <c r="AO1265" s="3">
        <v>2</v>
      </c>
      <c r="AP1265" s="3">
        <v>1</v>
      </c>
      <c r="AR1265" s="2" t="s">
        <v>1698</v>
      </c>
    </row>
    <row r="1266" spans="1:44" ht="12.75" customHeight="1">
      <c r="A1266" s="4">
        <f>DATE(91,4,6)</f>
        <v>33334</v>
      </c>
      <c r="C1266" s="2" t="s">
        <v>367</v>
      </c>
      <c r="E1266" s="18">
        <v>6</v>
      </c>
      <c r="F1266" s="18">
        <v>0</v>
      </c>
      <c r="G1266" s="18">
        <v>6</v>
      </c>
      <c r="H1266" s="18">
        <v>0</v>
      </c>
      <c r="I1266" s="18">
        <v>0</v>
      </c>
      <c r="J1266" s="18">
        <v>1</v>
      </c>
      <c r="K1266" s="18" t="s">
        <v>162</v>
      </c>
      <c r="T1266" s="3">
        <v>13</v>
      </c>
      <c r="U1266" s="3">
        <v>12</v>
      </c>
      <c r="V1266" s="3">
        <v>1</v>
      </c>
      <c r="X1266" s="2" t="s">
        <v>1700</v>
      </c>
      <c r="Y1266" s="18">
        <v>0</v>
      </c>
      <c r="Z1266" s="18">
        <v>0</v>
      </c>
      <c r="AA1266" s="18">
        <v>4</v>
      </c>
      <c r="AB1266" s="18">
        <v>3</v>
      </c>
      <c r="AC1266" s="18">
        <v>0</v>
      </c>
      <c r="AD1266" s="18">
        <v>1</v>
      </c>
      <c r="AE1266" s="18">
        <v>0</v>
      </c>
      <c r="AN1266" s="3">
        <v>8</v>
      </c>
      <c r="AO1266" s="3">
        <v>14</v>
      </c>
      <c r="AP1266" s="3">
        <v>1</v>
      </c>
      <c r="AR1266" s="2" t="s">
        <v>1721</v>
      </c>
    </row>
    <row r="1267" spans="1:44" ht="12.75" customHeight="1">
      <c r="A1267" s="4">
        <f>DATE(91,5,23)</f>
        <v>33381</v>
      </c>
      <c r="B1267" s="2" t="s">
        <v>239</v>
      </c>
      <c r="C1267" s="2" t="s">
        <v>367</v>
      </c>
      <c r="D1267" s="2" t="s">
        <v>258</v>
      </c>
      <c r="E1267" s="18">
        <v>4</v>
      </c>
      <c r="F1267" s="18">
        <v>1</v>
      </c>
      <c r="G1267" s="18">
        <v>0</v>
      </c>
      <c r="H1267" s="18">
        <v>3</v>
      </c>
      <c r="I1267" s="18">
        <v>3</v>
      </c>
      <c r="T1267" s="3">
        <v>11</v>
      </c>
      <c r="U1267" s="3">
        <v>13</v>
      </c>
      <c r="V1267" s="3">
        <v>1</v>
      </c>
      <c r="X1267" s="2" t="s">
        <v>1766</v>
      </c>
      <c r="Y1267" s="18">
        <v>0</v>
      </c>
      <c r="Z1267" s="18">
        <v>0</v>
      </c>
      <c r="AA1267" s="18">
        <v>1</v>
      </c>
      <c r="AB1267" s="18">
        <v>0</v>
      </c>
      <c r="AC1267" s="18">
        <v>0</v>
      </c>
      <c r="AN1267" s="3">
        <v>1</v>
      </c>
      <c r="AO1267" s="3">
        <v>8</v>
      </c>
      <c r="AP1267" s="3">
        <v>0</v>
      </c>
      <c r="AR1267" s="2" t="s">
        <v>1767</v>
      </c>
    </row>
    <row r="1268" spans="1:44" ht="12.75" customHeight="1">
      <c r="A1268" s="4">
        <f>DATE(92,5,4)</f>
        <v>33728</v>
      </c>
      <c r="B1268" s="2" t="s">
        <v>152</v>
      </c>
      <c r="C1268" s="2" t="s">
        <v>367</v>
      </c>
      <c r="E1268" s="18">
        <v>1</v>
      </c>
      <c r="F1268" s="18">
        <v>0</v>
      </c>
      <c r="G1268" s="18">
        <v>0</v>
      </c>
      <c r="H1268" s="18">
        <v>3</v>
      </c>
      <c r="I1268" s="18">
        <v>4</v>
      </c>
      <c r="J1268" s="18">
        <v>3</v>
      </c>
      <c r="K1268" s="18">
        <v>0</v>
      </c>
      <c r="T1268" s="3">
        <v>11</v>
      </c>
      <c r="U1268" s="3">
        <v>12</v>
      </c>
      <c r="V1268" s="3">
        <v>3</v>
      </c>
      <c r="X1268" s="2" t="s">
        <v>1799</v>
      </c>
      <c r="Y1268" s="18">
        <v>0</v>
      </c>
      <c r="Z1268" s="18">
        <v>0</v>
      </c>
      <c r="AA1268" s="18">
        <v>0</v>
      </c>
      <c r="AB1268" s="18">
        <v>4</v>
      </c>
      <c r="AC1268" s="18">
        <v>2</v>
      </c>
      <c r="AD1268" s="18">
        <v>0</v>
      </c>
      <c r="AE1268" s="18">
        <v>0</v>
      </c>
      <c r="AN1268" s="3">
        <f aca="true" t="shared" si="39" ref="AN1268:AN1292">SUM(Y1268:AM1268)</f>
        <v>6</v>
      </c>
      <c r="AO1268" s="3">
        <v>8</v>
      </c>
      <c r="AP1268" s="3">
        <v>1</v>
      </c>
      <c r="AR1268" s="2" t="s">
        <v>1800</v>
      </c>
    </row>
    <row r="1269" spans="1:44" ht="12.75" customHeight="1">
      <c r="A1269" s="4">
        <f>DATE(93,5,10)</f>
        <v>34099</v>
      </c>
      <c r="C1269" s="2" t="s">
        <v>367</v>
      </c>
      <c r="E1269" s="18">
        <v>2</v>
      </c>
      <c r="F1269" s="18">
        <v>3</v>
      </c>
      <c r="G1269" s="18">
        <v>0</v>
      </c>
      <c r="H1269" s="18">
        <v>1</v>
      </c>
      <c r="I1269" s="18">
        <v>3</v>
      </c>
      <c r="J1269" s="18">
        <v>0</v>
      </c>
      <c r="K1269" s="18" t="s">
        <v>162</v>
      </c>
      <c r="T1269" s="3">
        <f aca="true" t="shared" si="40" ref="T1269:T1292">SUM(E1269:S1269)</f>
        <v>9</v>
      </c>
      <c r="U1269" s="3">
        <v>13</v>
      </c>
      <c r="V1269" s="3">
        <v>3</v>
      </c>
      <c r="X1269" s="2" t="s">
        <v>1835</v>
      </c>
      <c r="Y1269" s="18">
        <v>0</v>
      </c>
      <c r="Z1269" s="18">
        <v>0</v>
      </c>
      <c r="AA1269" s="18">
        <v>0</v>
      </c>
      <c r="AB1269" s="18">
        <v>0</v>
      </c>
      <c r="AC1269" s="18">
        <v>1</v>
      </c>
      <c r="AD1269" s="18">
        <v>2</v>
      </c>
      <c r="AE1269" s="18">
        <v>0</v>
      </c>
      <c r="AN1269" s="3">
        <f t="shared" si="39"/>
        <v>3</v>
      </c>
      <c r="AO1269" s="3">
        <v>4</v>
      </c>
      <c r="AP1269" s="3">
        <v>3</v>
      </c>
      <c r="AR1269" s="2" t="s">
        <v>1836</v>
      </c>
    </row>
    <row r="1270" spans="1:44" ht="12.75" customHeight="1">
      <c r="A1270" s="4">
        <f>DATE(94,4,9)</f>
        <v>34433</v>
      </c>
      <c r="B1270" s="2" t="s">
        <v>152</v>
      </c>
      <c r="C1270" s="2" t="s">
        <v>367</v>
      </c>
      <c r="E1270" s="18">
        <v>1</v>
      </c>
      <c r="F1270" s="18">
        <v>0</v>
      </c>
      <c r="G1270" s="18">
        <v>3</v>
      </c>
      <c r="H1270" s="18">
        <v>0</v>
      </c>
      <c r="I1270" s="18">
        <v>0</v>
      </c>
      <c r="J1270" s="18">
        <v>0</v>
      </c>
      <c r="K1270" s="18">
        <v>0</v>
      </c>
      <c r="L1270" s="18">
        <v>2</v>
      </c>
      <c r="T1270" s="3">
        <f t="shared" si="40"/>
        <v>6</v>
      </c>
      <c r="U1270" s="3">
        <v>11</v>
      </c>
      <c r="V1270" s="3">
        <v>0</v>
      </c>
      <c r="X1270" s="2" t="s">
        <v>1849</v>
      </c>
      <c r="Y1270" s="18">
        <v>1</v>
      </c>
      <c r="Z1270" s="18">
        <v>0</v>
      </c>
      <c r="AA1270" s="18">
        <v>0</v>
      </c>
      <c r="AB1270" s="18">
        <v>2</v>
      </c>
      <c r="AC1270" s="18">
        <v>1</v>
      </c>
      <c r="AD1270" s="18">
        <v>0</v>
      </c>
      <c r="AE1270" s="18">
        <v>0</v>
      </c>
      <c r="AF1270" s="18">
        <v>0</v>
      </c>
      <c r="AN1270" s="3">
        <f t="shared" si="39"/>
        <v>4</v>
      </c>
      <c r="AO1270" s="3">
        <v>4</v>
      </c>
      <c r="AP1270" s="3">
        <v>2</v>
      </c>
      <c r="AR1270" s="2" t="s">
        <v>1850</v>
      </c>
    </row>
    <row r="1271" spans="1:44" ht="12.75" customHeight="1">
      <c r="A1271" s="4">
        <f>DATE(94,5,27)</f>
        <v>34481</v>
      </c>
      <c r="B1271" s="2" t="s">
        <v>239</v>
      </c>
      <c r="C1271" s="2" t="s">
        <v>367</v>
      </c>
      <c r="D1271" s="2" t="s">
        <v>258</v>
      </c>
      <c r="E1271" s="18">
        <v>0</v>
      </c>
      <c r="F1271" s="18">
        <v>1</v>
      </c>
      <c r="G1271" s="18">
        <v>6</v>
      </c>
      <c r="H1271" s="18">
        <v>4</v>
      </c>
      <c r="I1271" s="18" t="s">
        <v>162</v>
      </c>
      <c r="T1271" s="3">
        <f t="shared" si="40"/>
        <v>11</v>
      </c>
      <c r="U1271" s="3">
        <v>6</v>
      </c>
      <c r="V1271" s="3">
        <v>0</v>
      </c>
      <c r="X1271" s="2" t="s">
        <v>1877</v>
      </c>
      <c r="Y1271" s="18">
        <v>0</v>
      </c>
      <c r="Z1271" s="18">
        <v>0</v>
      </c>
      <c r="AA1271" s="18">
        <v>0</v>
      </c>
      <c r="AB1271" s="18">
        <v>0</v>
      </c>
      <c r="AC1271" s="18">
        <v>0</v>
      </c>
      <c r="AN1271" s="3">
        <f t="shared" si="39"/>
        <v>0</v>
      </c>
      <c r="AO1271" s="3">
        <v>1</v>
      </c>
      <c r="AP1271" s="3">
        <v>3</v>
      </c>
      <c r="AR1271" s="2" t="s">
        <v>1878</v>
      </c>
    </row>
    <row r="1272" spans="1:44" ht="12.75" customHeight="1">
      <c r="A1272" s="4">
        <f>DATE(95,4,24)</f>
        <v>34813</v>
      </c>
      <c r="C1272" s="2" t="s">
        <v>367</v>
      </c>
      <c r="E1272" s="18">
        <v>0</v>
      </c>
      <c r="F1272" s="18">
        <v>0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T1272" s="3">
        <f t="shared" si="40"/>
        <v>0</v>
      </c>
      <c r="U1272" s="3">
        <v>1</v>
      </c>
      <c r="V1272" s="3">
        <v>3</v>
      </c>
      <c r="X1272" s="2" t="s">
        <v>1840</v>
      </c>
      <c r="Y1272" s="18">
        <v>1</v>
      </c>
      <c r="Z1272" s="18">
        <v>0</v>
      </c>
      <c r="AA1272" s="18">
        <v>0</v>
      </c>
      <c r="AB1272" s="18">
        <v>1</v>
      </c>
      <c r="AC1272" s="18">
        <v>0</v>
      </c>
      <c r="AD1272" s="18">
        <v>1</v>
      </c>
      <c r="AE1272" s="18">
        <v>2</v>
      </c>
      <c r="AN1272" s="3">
        <f t="shared" si="39"/>
        <v>5</v>
      </c>
      <c r="AO1272" s="3">
        <v>8</v>
      </c>
      <c r="AP1272" s="3">
        <v>0</v>
      </c>
      <c r="AR1272" s="2" t="s">
        <v>1891</v>
      </c>
    </row>
    <row r="1273" spans="1:44" ht="12.75" customHeight="1">
      <c r="A1273" s="4">
        <f>DATE(95,5,15)</f>
        <v>34834</v>
      </c>
      <c r="C1273" s="2" t="s">
        <v>367</v>
      </c>
      <c r="E1273" s="18">
        <v>0</v>
      </c>
      <c r="F1273" s="18">
        <v>6</v>
      </c>
      <c r="G1273" s="18">
        <v>7</v>
      </c>
      <c r="H1273" s="18">
        <v>7</v>
      </c>
      <c r="I1273" s="18" t="s">
        <v>162</v>
      </c>
      <c r="T1273" s="3">
        <f t="shared" si="40"/>
        <v>20</v>
      </c>
      <c r="U1273" s="3">
        <v>13</v>
      </c>
      <c r="V1273" s="3">
        <v>1</v>
      </c>
      <c r="X1273" s="2" t="s">
        <v>1856</v>
      </c>
      <c r="Y1273" s="18">
        <v>0</v>
      </c>
      <c r="Z1273" s="18">
        <v>0</v>
      </c>
      <c r="AA1273" s="18">
        <v>0</v>
      </c>
      <c r="AB1273" s="18">
        <v>0</v>
      </c>
      <c r="AC1273" s="18">
        <v>0</v>
      </c>
      <c r="AN1273" s="3">
        <f t="shared" si="39"/>
        <v>0</v>
      </c>
      <c r="AO1273" s="3">
        <v>0</v>
      </c>
      <c r="AP1273" s="3">
        <v>5</v>
      </c>
      <c r="AR1273" s="2" t="s">
        <v>2404</v>
      </c>
    </row>
    <row r="1274" spans="1:44" ht="12.75" customHeight="1">
      <c r="A1274" s="4">
        <v>35161</v>
      </c>
      <c r="C1274" s="2" t="s">
        <v>367</v>
      </c>
      <c r="E1274" s="18">
        <v>2</v>
      </c>
      <c r="F1274" s="18">
        <v>3</v>
      </c>
      <c r="G1274" s="18">
        <v>0</v>
      </c>
      <c r="H1274" s="18">
        <v>0</v>
      </c>
      <c r="I1274" s="18">
        <v>1</v>
      </c>
      <c r="J1274" s="18">
        <v>0</v>
      </c>
      <c r="K1274" s="18" t="s">
        <v>162</v>
      </c>
      <c r="T1274" s="3">
        <f t="shared" si="40"/>
        <v>6</v>
      </c>
      <c r="U1274" s="3">
        <v>7</v>
      </c>
      <c r="V1274" s="3">
        <v>2</v>
      </c>
      <c r="X1274" s="2" t="s">
        <v>432</v>
      </c>
      <c r="Y1274" s="18">
        <v>0</v>
      </c>
      <c r="Z1274" s="18">
        <v>0</v>
      </c>
      <c r="AA1274" s="18">
        <v>0</v>
      </c>
      <c r="AB1274" s="18">
        <v>1</v>
      </c>
      <c r="AC1274" s="18">
        <v>0</v>
      </c>
      <c r="AD1274" s="18">
        <v>0</v>
      </c>
      <c r="AE1274" s="18">
        <v>0</v>
      </c>
      <c r="AN1274" s="3">
        <f t="shared" si="39"/>
        <v>1</v>
      </c>
      <c r="AO1274" s="3">
        <v>3</v>
      </c>
      <c r="AP1274" s="3">
        <v>3</v>
      </c>
      <c r="AR1274" s="2" t="s">
        <v>1274</v>
      </c>
    </row>
    <row r="1275" spans="1:44" ht="12.75" customHeight="1">
      <c r="A1275" s="9">
        <f>DATE(1997,4,26)</f>
        <v>35546</v>
      </c>
      <c r="C1275" s="2" t="s">
        <v>367</v>
      </c>
      <c r="E1275" s="18">
        <v>0</v>
      </c>
      <c r="F1275" s="18">
        <v>0</v>
      </c>
      <c r="G1275" s="18">
        <v>0</v>
      </c>
      <c r="H1275" s="18">
        <v>1</v>
      </c>
      <c r="I1275" s="18">
        <v>0</v>
      </c>
      <c r="J1275" s="18">
        <v>0</v>
      </c>
      <c r="K1275" s="18">
        <v>3</v>
      </c>
      <c r="T1275" s="3">
        <f t="shared" si="40"/>
        <v>4</v>
      </c>
      <c r="U1275" s="3">
        <v>6</v>
      </c>
      <c r="V1275" s="3">
        <v>4</v>
      </c>
      <c r="X1275" s="2" t="s">
        <v>432</v>
      </c>
      <c r="Y1275" s="18">
        <v>0</v>
      </c>
      <c r="Z1275" s="18">
        <v>1</v>
      </c>
      <c r="AA1275" s="18">
        <v>0</v>
      </c>
      <c r="AB1275" s="18">
        <v>0</v>
      </c>
      <c r="AC1275" s="18">
        <v>0</v>
      </c>
      <c r="AD1275" s="18">
        <v>2</v>
      </c>
      <c r="AE1275" s="18">
        <v>0</v>
      </c>
      <c r="AN1275" s="3">
        <f t="shared" si="39"/>
        <v>3</v>
      </c>
      <c r="AO1275" s="3">
        <v>2</v>
      </c>
      <c r="AP1275" s="3">
        <v>2</v>
      </c>
      <c r="AR1275" s="2" t="s">
        <v>447</v>
      </c>
    </row>
    <row r="1276" spans="1:44" ht="12.75" customHeight="1">
      <c r="A1276" s="4">
        <f>DATE(1997,5,22)</f>
        <v>35572</v>
      </c>
      <c r="B1276" s="2" t="s">
        <v>239</v>
      </c>
      <c r="C1276" s="2" t="s">
        <v>367</v>
      </c>
      <c r="D1276" s="2" t="s">
        <v>258</v>
      </c>
      <c r="E1276" s="18">
        <v>1</v>
      </c>
      <c r="F1276" s="18">
        <v>1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T1276" s="3">
        <f t="shared" si="40"/>
        <v>2</v>
      </c>
      <c r="U1276" s="3">
        <v>8</v>
      </c>
      <c r="V1276" s="3">
        <v>1</v>
      </c>
      <c r="X1276" s="2" t="s">
        <v>459</v>
      </c>
      <c r="Y1276" s="18">
        <v>0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  <c r="AE1276" s="18">
        <v>3</v>
      </c>
      <c r="AN1276" s="3">
        <f t="shared" si="39"/>
        <v>3</v>
      </c>
      <c r="AO1276" s="3">
        <v>8</v>
      </c>
      <c r="AP1276" s="3">
        <v>2</v>
      </c>
      <c r="AR1276" s="2" t="s">
        <v>458</v>
      </c>
    </row>
    <row r="1277" spans="1:44" ht="12.75" customHeight="1">
      <c r="A1277" s="4">
        <v>35889</v>
      </c>
      <c r="B1277" s="2" t="s">
        <v>152</v>
      </c>
      <c r="C1277" s="2" t="s">
        <v>367</v>
      </c>
      <c r="E1277" s="18">
        <v>0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T1277" s="3">
        <f t="shared" si="40"/>
        <v>0</v>
      </c>
      <c r="U1277" s="3">
        <v>0</v>
      </c>
      <c r="V1277" s="3">
        <v>2</v>
      </c>
      <c r="X1277" s="2" t="s">
        <v>503</v>
      </c>
      <c r="Y1277" s="18">
        <v>1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 t="s">
        <v>162</v>
      </c>
      <c r="AN1277" s="3">
        <f t="shared" si="39"/>
        <v>1</v>
      </c>
      <c r="AO1277" s="3">
        <v>3</v>
      </c>
      <c r="AP1277" s="3">
        <v>1</v>
      </c>
      <c r="AR1277" s="2" t="s">
        <v>501</v>
      </c>
    </row>
    <row r="1278" spans="1:44" ht="12.75" customHeight="1">
      <c r="A1278" s="5">
        <v>36295</v>
      </c>
      <c r="C1278" s="2" t="s">
        <v>367</v>
      </c>
      <c r="E1278" s="18">
        <v>0</v>
      </c>
      <c r="F1278" s="18">
        <v>1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T1278" s="3">
        <f t="shared" si="40"/>
        <v>1</v>
      </c>
      <c r="U1278" s="3">
        <v>2</v>
      </c>
      <c r="V1278" s="3">
        <v>1</v>
      </c>
      <c r="X1278" s="2" t="s">
        <v>502</v>
      </c>
      <c r="Y1278" s="18">
        <v>0</v>
      </c>
      <c r="Z1278" s="18">
        <v>0</v>
      </c>
      <c r="AA1278" s="18">
        <v>0</v>
      </c>
      <c r="AB1278" s="18">
        <v>2</v>
      </c>
      <c r="AC1278" s="18">
        <v>0</v>
      </c>
      <c r="AD1278" s="18">
        <v>3</v>
      </c>
      <c r="AE1278" s="18">
        <v>0</v>
      </c>
      <c r="AN1278" s="3">
        <f t="shared" si="39"/>
        <v>5</v>
      </c>
      <c r="AO1278" s="3">
        <v>7</v>
      </c>
      <c r="AP1278" s="3">
        <v>1</v>
      </c>
      <c r="AR1278" s="2" t="s">
        <v>458</v>
      </c>
    </row>
    <row r="1279" spans="1:44" ht="12.75" customHeight="1">
      <c r="A1279" s="8">
        <v>37733</v>
      </c>
      <c r="C1279" s="2" t="s">
        <v>367</v>
      </c>
      <c r="E1279" s="18">
        <v>15</v>
      </c>
      <c r="F1279" s="18">
        <v>10</v>
      </c>
      <c r="G1279" s="18" t="s">
        <v>162</v>
      </c>
      <c r="T1279" s="3">
        <f t="shared" si="40"/>
        <v>25</v>
      </c>
      <c r="U1279" s="3">
        <v>11</v>
      </c>
      <c r="V1279" s="3">
        <v>0</v>
      </c>
      <c r="X1279" s="2" t="s">
        <v>577</v>
      </c>
      <c r="Y1279" s="18">
        <v>0</v>
      </c>
      <c r="Z1279" s="18">
        <v>0</v>
      </c>
      <c r="AA1279" s="18">
        <v>0</v>
      </c>
      <c r="AN1279" s="3">
        <f t="shared" si="39"/>
        <v>0</v>
      </c>
      <c r="AO1279" s="3">
        <v>1</v>
      </c>
      <c r="AP1279" s="3">
        <v>4</v>
      </c>
      <c r="AR1279" s="2" t="s">
        <v>578</v>
      </c>
    </row>
    <row r="1280" spans="1:44" ht="12.75" customHeight="1">
      <c r="A1280" s="5">
        <v>38119</v>
      </c>
      <c r="B1280" s="2" t="s">
        <v>152</v>
      </c>
      <c r="C1280" s="2" t="s">
        <v>367</v>
      </c>
      <c r="E1280" s="18">
        <v>4</v>
      </c>
      <c r="F1280" s="18">
        <v>1</v>
      </c>
      <c r="G1280" s="18">
        <v>1</v>
      </c>
      <c r="H1280" s="18">
        <v>0</v>
      </c>
      <c r="I1280" s="18">
        <v>0</v>
      </c>
      <c r="J1280" s="18">
        <v>0</v>
      </c>
      <c r="K1280" s="18">
        <v>2</v>
      </c>
      <c r="T1280" s="3">
        <f t="shared" si="40"/>
        <v>8</v>
      </c>
      <c r="U1280" s="3">
        <v>9</v>
      </c>
      <c r="V1280" s="3">
        <v>5</v>
      </c>
      <c r="X1280" s="2" t="s">
        <v>598</v>
      </c>
      <c r="Y1280" s="18">
        <v>2</v>
      </c>
      <c r="Z1280" s="18">
        <v>0</v>
      </c>
      <c r="AA1280" s="18">
        <v>0</v>
      </c>
      <c r="AB1280" s="18">
        <v>1</v>
      </c>
      <c r="AC1280" s="18">
        <v>0</v>
      </c>
      <c r="AD1280" s="18">
        <v>0</v>
      </c>
      <c r="AE1280" s="18">
        <v>0</v>
      </c>
      <c r="AN1280" s="3">
        <f t="shared" si="39"/>
        <v>3</v>
      </c>
      <c r="AO1280" s="3">
        <v>7</v>
      </c>
      <c r="AP1280" s="3">
        <v>3</v>
      </c>
      <c r="AR1280" s="2" t="s">
        <v>599</v>
      </c>
    </row>
    <row r="1281" spans="1:44" ht="12.75" customHeight="1">
      <c r="A1281" s="5">
        <f>DATE(2005,4,30)</f>
        <v>38472</v>
      </c>
      <c r="C1281" s="2" t="s">
        <v>367</v>
      </c>
      <c r="E1281" s="18">
        <v>1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T1281" s="3">
        <f t="shared" si="40"/>
        <v>1</v>
      </c>
      <c r="U1281" s="3">
        <v>3</v>
      </c>
      <c r="V1281" s="3">
        <v>3</v>
      </c>
      <c r="X1281" s="2" t="s">
        <v>553</v>
      </c>
      <c r="Y1281" s="18">
        <v>0</v>
      </c>
      <c r="Z1281" s="18">
        <v>2</v>
      </c>
      <c r="AA1281" s="18">
        <v>2</v>
      </c>
      <c r="AB1281" s="18">
        <v>1</v>
      </c>
      <c r="AC1281" s="18">
        <v>0</v>
      </c>
      <c r="AD1281" s="18">
        <v>0</v>
      </c>
      <c r="AE1281" s="18">
        <v>2</v>
      </c>
      <c r="AN1281" s="3">
        <f t="shared" si="39"/>
        <v>7</v>
      </c>
      <c r="AO1281" s="3">
        <v>10</v>
      </c>
      <c r="AP1281" s="3">
        <v>2</v>
      </c>
      <c r="AR1281" s="2" t="s">
        <v>554</v>
      </c>
    </row>
    <row r="1282" spans="1:44" ht="12.75" customHeight="1">
      <c r="A1282" s="5">
        <v>38847</v>
      </c>
      <c r="B1282" s="2" t="s">
        <v>152</v>
      </c>
      <c r="C1282" s="2" t="s">
        <v>367</v>
      </c>
      <c r="E1282" s="18">
        <v>0</v>
      </c>
      <c r="F1282" s="18">
        <v>0</v>
      </c>
      <c r="G1282" s="18">
        <v>2</v>
      </c>
      <c r="H1282" s="18">
        <v>1</v>
      </c>
      <c r="I1282" s="18">
        <v>1</v>
      </c>
      <c r="J1282" s="18">
        <v>0</v>
      </c>
      <c r="K1282" s="18">
        <v>1</v>
      </c>
      <c r="T1282" s="3">
        <f t="shared" si="40"/>
        <v>5</v>
      </c>
      <c r="U1282" s="3">
        <v>8</v>
      </c>
      <c r="V1282" s="3">
        <v>1</v>
      </c>
      <c r="X1282" s="2" t="s">
        <v>212</v>
      </c>
      <c r="Y1282" s="18">
        <v>0</v>
      </c>
      <c r="Z1282" s="18">
        <v>1</v>
      </c>
      <c r="AA1282" s="18">
        <v>0</v>
      </c>
      <c r="AB1282" s="18">
        <v>0</v>
      </c>
      <c r="AC1282" s="18">
        <v>0</v>
      </c>
      <c r="AD1282" s="18">
        <v>0</v>
      </c>
      <c r="AE1282" s="18">
        <v>0</v>
      </c>
      <c r="AN1282" s="3">
        <f t="shared" si="39"/>
        <v>1</v>
      </c>
      <c r="AO1282" s="3">
        <v>3</v>
      </c>
      <c r="AP1282" s="3">
        <v>2</v>
      </c>
      <c r="AR1282" s="2" t="s">
        <v>1676</v>
      </c>
    </row>
    <row r="1283" spans="1:44" ht="12.75" customHeight="1">
      <c r="A1283" s="5">
        <v>38863</v>
      </c>
      <c r="B1283" s="2" t="s">
        <v>152</v>
      </c>
      <c r="C1283" s="2" t="s">
        <v>367</v>
      </c>
      <c r="D1283" s="2" t="s">
        <v>258</v>
      </c>
      <c r="E1283" s="18">
        <v>0</v>
      </c>
      <c r="F1283" s="18">
        <v>6</v>
      </c>
      <c r="G1283" s="18">
        <v>2</v>
      </c>
      <c r="H1283" s="18">
        <v>0</v>
      </c>
      <c r="I1283" s="18">
        <v>2</v>
      </c>
      <c r="J1283" s="18">
        <v>6</v>
      </c>
      <c r="T1283" s="3">
        <f t="shared" si="40"/>
        <v>16</v>
      </c>
      <c r="U1283" s="3">
        <v>9</v>
      </c>
      <c r="V1283" s="3">
        <v>2</v>
      </c>
      <c r="X1283" s="2" t="s">
        <v>556</v>
      </c>
      <c r="Y1283" s="18">
        <v>0</v>
      </c>
      <c r="Z1283" s="18">
        <v>0</v>
      </c>
      <c r="AA1283" s="18">
        <v>0</v>
      </c>
      <c r="AB1283" s="18">
        <v>0</v>
      </c>
      <c r="AC1283" s="18">
        <v>3</v>
      </c>
      <c r="AD1283" s="18">
        <v>0</v>
      </c>
      <c r="AN1283" s="3">
        <f t="shared" si="39"/>
        <v>3</v>
      </c>
      <c r="AO1283" s="3">
        <v>5</v>
      </c>
      <c r="AP1283" s="3">
        <v>6</v>
      </c>
      <c r="AR1283" s="2" t="s">
        <v>1678</v>
      </c>
    </row>
    <row r="1284" spans="1:44" ht="12.75" customHeight="1">
      <c r="A1284" s="5">
        <v>39221</v>
      </c>
      <c r="C1284" s="2" t="s">
        <v>367</v>
      </c>
      <c r="E1284" s="18">
        <v>1</v>
      </c>
      <c r="F1284" s="18">
        <v>0</v>
      </c>
      <c r="G1284" s="18">
        <v>1</v>
      </c>
      <c r="H1284" s="18">
        <v>1</v>
      </c>
      <c r="I1284" s="18">
        <v>0</v>
      </c>
      <c r="J1284" s="18">
        <v>0</v>
      </c>
      <c r="K1284" s="18">
        <v>2</v>
      </c>
      <c r="T1284" s="3">
        <f t="shared" si="40"/>
        <v>5</v>
      </c>
      <c r="U1284" s="3">
        <v>9</v>
      </c>
      <c r="V1284" s="3">
        <v>3</v>
      </c>
      <c r="X1284" s="2" t="s">
        <v>472</v>
      </c>
      <c r="Y1284" s="18">
        <v>0</v>
      </c>
      <c r="Z1284" s="18">
        <v>0</v>
      </c>
      <c r="AA1284" s="18">
        <v>1</v>
      </c>
      <c r="AB1284" s="18">
        <v>0</v>
      </c>
      <c r="AC1284" s="18">
        <v>3</v>
      </c>
      <c r="AD1284" s="18">
        <v>0</v>
      </c>
      <c r="AE1284" s="18">
        <v>2</v>
      </c>
      <c r="AN1284" s="3">
        <f t="shared" si="39"/>
        <v>6</v>
      </c>
      <c r="AO1284" s="3">
        <v>11</v>
      </c>
      <c r="AP1284" s="3">
        <v>2</v>
      </c>
      <c r="AR1284" s="2" t="s">
        <v>593</v>
      </c>
    </row>
    <row r="1285" spans="1:44" ht="12.75" customHeight="1">
      <c r="A1285" s="5">
        <v>39559</v>
      </c>
      <c r="B1285" s="2" t="s">
        <v>152</v>
      </c>
      <c r="C1285" s="2" t="s">
        <v>367</v>
      </c>
      <c r="E1285" s="18">
        <v>0</v>
      </c>
      <c r="F1285" s="18">
        <v>1</v>
      </c>
      <c r="G1285" s="18">
        <v>1</v>
      </c>
      <c r="H1285" s="18">
        <v>0</v>
      </c>
      <c r="I1285" s="18">
        <v>4</v>
      </c>
      <c r="J1285" s="18">
        <v>2</v>
      </c>
      <c r="K1285" s="18">
        <v>1</v>
      </c>
      <c r="T1285" s="3">
        <f t="shared" si="40"/>
        <v>9</v>
      </c>
      <c r="U1285" s="3">
        <v>11</v>
      </c>
      <c r="V1285" s="3">
        <v>1</v>
      </c>
      <c r="X1285" s="2" t="s">
        <v>477</v>
      </c>
      <c r="Y1285" s="18">
        <v>2</v>
      </c>
      <c r="Z1285" s="18">
        <v>0</v>
      </c>
      <c r="AA1285" s="18">
        <v>2</v>
      </c>
      <c r="AB1285" s="18">
        <v>0</v>
      </c>
      <c r="AC1285" s="18">
        <v>0</v>
      </c>
      <c r="AD1285" s="18">
        <v>0</v>
      </c>
      <c r="AE1285" s="18">
        <v>0</v>
      </c>
      <c r="AN1285" s="3">
        <f t="shared" si="39"/>
        <v>4</v>
      </c>
      <c r="AO1285" s="3">
        <v>5</v>
      </c>
      <c r="AP1285" s="3">
        <v>4</v>
      </c>
      <c r="AR1285" s="2" t="s">
        <v>1220</v>
      </c>
    </row>
    <row r="1286" spans="1:44" ht="12.75" customHeight="1">
      <c r="A1286" s="5">
        <v>39591</v>
      </c>
      <c r="B1286" s="2" t="s">
        <v>152</v>
      </c>
      <c r="C1286" s="2" t="s">
        <v>367</v>
      </c>
      <c r="D1286" s="2" t="s">
        <v>258</v>
      </c>
      <c r="E1286" s="18">
        <v>0</v>
      </c>
      <c r="F1286" s="18">
        <v>1</v>
      </c>
      <c r="G1286" s="18">
        <v>0</v>
      </c>
      <c r="H1286" s="18">
        <v>0</v>
      </c>
      <c r="I1286" s="18">
        <v>1</v>
      </c>
      <c r="J1286" s="18">
        <v>0</v>
      </c>
      <c r="K1286" s="18">
        <v>0</v>
      </c>
      <c r="T1286" s="3">
        <f t="shared" si="40"/>
        <v>2</v>
      </c>
      <c r="U1286" s="3">
        <v>5</v>
      </c>
      <c r="V1286" s="3">
        <v>4</v>
      </c>
      <c r="X1286" s="2" t="s">
        <v>468</v>
      </c>
      <c r="Y1286" s="18">
        <v>0</v>
      </c>
      <c r="Z1286" s="18">
        <v>3</v>
      </c>
      <c r="AA1286" s="18">
        <v>0</v>
      </c>
      <c r="AB1286" s="18">
        <v>0</v>
      </c>
      <c r="AC1286" s="18">
        <v>3</v>
      </c>
      <c r="AD1286" s="18">
        <v>0</v>
      </c>
      <c r="AE1286" s="18" t="s">
        <v>162</v>
      </c>
      <c r="AN1286" s="3">
        <f t="shared" si="39"/>
        <v>6</v>
      </c>
      <c r="AO1286" s="3">
        <v>9</v>
      </c>
      <c r="AP1286" s="3">
        <v>3</v>
      </c>
      <c r="AR1286" s="2" t="s">
        <v>1093</v>
      </c>
    </row>
    <row r="1287" spans="1:44" ht="12.75" customHeight="1">
      <c r="A1287" s="5">
        <v>39939</v>
      </c>
      <c r="B1287" s="2" t="s">
        <v>152</v>
      </c>
      <c r="C1287" s="2" t="s">
        <v>367</v>
      </c>
      <c r="E1287" s="18">
        <v>0</v>
      </c>
      <c r="F1287" s="18">
        <v>0</v>
      </c>
      <c r="G1287" s="18">
        <v>2</v>
      </c>
      <c r="H1287" s="18">
        <v>0</v>
      </c>
      <c r="I1287" s="18">
        <v>3</v>
      </c>
      <c r="J1287" s="18">
        <v>0</v>
      </c>
      <c r="K1287" s="18">
        <v>0</v>
      </c>
      <c r="T1287" s="3">
        <f t="shared" si="40"/>
        <v>5</v>
      </c>
      <c r="U1287" s="3">
        <v>6</v>
      </c>
      <c r="V1287" s="3">
        <v>0</v>
      </c>
      <c r="X1287" s="2" t="s">
        <v>1474</v>
      </c>
      <c r="Y1287" s="18">
        <v>1</v>
      </c>
      <c r="Z1287" s="18">
        <v>0</v>
      </c>
      <c r="AA1287" s="18">
        <v>0</v>
      </c>
      <c r="AB1287" s="18">
        <v>2</v>
      </c>
      <c r="AC1287" s="18">
        <v>0</v>
      </c>
      <c r="AD1287" s="18">
        <v>0</v>
      </c>
      <c r="AE1287" s="18">
        <v>0</v>
      </c>
      <c r="AN1287" s="3">
        <f t="shared" si="39"/>
        <v>3</v>
      </c>
      <c r="AO1287" s="3">
        <v>7</v>
      </c>
      <c r="AP1287" s="3">
        <v>2</v>
      </c>
      <c r="AR1287" s="2" t="s">
        <v>2388</v>
      </c>
    </row>
    <row r="1288" spans="1:44" ht="12.75" customHeight="1">
      <c r="A1288" s="5">
        <v>39947</v>
      </c>
      <c r="C1288" s="2" t="s">
        <v>367</v>
      </c>
      <c r="E1288" s="18">
        <v>0</v>
      </c>
      <c r="F1288" s="18">
        <v>2</v>
      </c>
      <c r="G1288" s="18">
        <v>2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T1288" s="3">
        <f t="shared" si="40"/>
        <v>4</v>
      </c>
      <c r="U1288" s="3">
        <v>8</v>
      </c>
      <c r="V1288" s="3">
        <v>3</v>
      </c>
      <c r="X1288" s="2" t="s">
        <v>861</v>
      </c>
      <c r="Y1288" s="18">
        <v>1</v>
      </c>
      <c r="Z1288" s="18">
        <v>2</v>
      </c>
      <c r="AA1288" s="18">
        <v>1</v>
      </c>
      <c r="AB1288" s="18">
        <v>0</v>
      </c>
      <c r="AC1288" s="18">
        <v>0</v>
      </c>
      <c r="AD1288" s="18">
        <v>0</v>
      </c>
      <c r="AE1288" s="18">
        <v>0</v>
      </c>
      <c r="AF1288" s="18">
        <v>2</v>
      </c>
      <c r="AN1288" s="3">
        <f t="shared" si="39"/>
        <v>6</v>
      </c>
      <c r="AO1288" s="3">
        <v>10</v>
      </c>
      <c r="AP1288" s="3">
        <v>2</v>
      </c>
      <c r="AR1288" s="2" t="s">
        <v>862</v>
      </c>
    </row>
    <row r="1289" spans="1:44" ht="12.75" customHeight="1">
      <c r="A1289" s="5">
        <v>39953</v>
      </c>
      <c r="C1289" s="2" t="s">
        <v>367</v>
      </c>
      <c r="D1289" s="2" t="s">
        <v>258</v>
      </c>
      <c r="E1289" s="18">
        <v>2</v>
      </c>
      <c r="F1289" s="18">
        <v>1</v>
      </c>
      <c r="G1289" s="18">
        <v>0</v>
      </c>
      <c r="H1289" s="18">
        <v>0</v>
      </c>
      <c r="I1289" s="18">
        <v>1</v>
      </c>
      <c r="J1289" s="18">
        <v>0</v>
      </c>
      <c r="K1289" s="18">
        <v>0</v>
      </c>
      <c r="L1289" s="18">
        <v>1</v>
      </c>
      <c r="T1289" s="3">
        <f t="shared" si="40"/>
        <v>5</v>
      </c>
      <c r="U1289" s="3">
        <v>10</v>
      </c>
      <c r="V1289" s="3">
        <v>6</v>
      </c>
      <c r="X1289" s="2" t="s">
        <v>529</v>
      </c>
      <c r="Y1289" s="18">
        <v>1</v>
      </c>
      <c r="Z1289" s="18">
        <v>1</v>
      </c>
      <c r="AA1289" s="18">
        <v>0</v>
      </c>
      <c r="AB1289" s="18">
        <v>0</v>
      </c>
      <c r="AC1289" s="18">
        <v>0</v>
      </c>
      <c r="AD1289" s="18">
        <v>2</v>
      </c>
      <c r="AE1289" s="18">
        <v>0</v>
      </c>
      <c r="AF1289" s="18">
        <v>0</v>
      </c>
      <c r="AN1289" s="3">
        <f t="shared" si="39"/>
        <v>4</v>
      </c>
      <c r="AO1289" s="3">
        <v>3</v>
      </c>
      <c r="AP1289" s="3">
        <v>2</v>
      </c>
      <c r="AR1289" s="2" t="s">
        <v>530</v>
      </c>
    </row>
    <row r="1290" spans="1:44" ht="12.75" customHeight="1">
      <c r="A1290" s="5">
        <v>40289</v>
      </c>
      <c r="B1290" s="2" t="s">
        <v>152</v>
      </c>
      <c r="C1290" s="2" t="s">
        <v>367</v>
      </c>
      <c r="E1290" s="18">
        <v>1</v>
      </c>
      <c r="F1290" s="18">
        <v>0</v>
      </c>
      <c r="G1290" s="18">
        <v>0</v>
      </c>
      <c r="H1290" s="18">
        <v>0</v>
      </c>
      <c r="I1290" s="18">
        <v>0</v>
      </c>
      <c r="T1290" s="3">
        <f t="shared" si="40"/>
        <v>1</v>
      </c>
      <c r="U1290" s="3">
        <v>3</v>
      </c>
      <c r="V1290" s="3">
        <v>6</v>
      </c>
      <c r="X1290" s="2" t="s">
        <v>776</v>
      </c>
      <c r="Y1290" s="18">
        <v>0</v>
      </c>
      <c r="Z1290" s="18">
        <v>2</v>
      </c>
      <c r="AA1290" s="18">
        <v>2</v>
      </c>
      <c r="AB1290" s="18">
        <v>10</v>
      </c>
      <c r="AC1290" s="18" t="s">
        <v>162</v>
      </c>
      <c r="AN1290" s="3">
        <f t="shared" si="39"/>
        <v>14</v>
      </c>
      <c r="AO1290" s="3">
        <v>17</v>
      </c>
      <c r="AP1290" s="3">
        <v>0</v>
      </c>
      <c r="AR1290" s="2" t="s">
        <v>777</v>
      </c>
    </row>
    <row r="1291" spans="1:44" ht="12.75" customHeight="1">
      <c r="A1291" s="5">
        <v>40688</v>
      </c>
      <c r="B1291" s="2" t="s">
        <v>152</v>
      </c>
      <c r="C1291" s="2" t="s">
        <v>367</v>
      </c>
      <c r="D1291" s="2" t="s">
        <v>258</v>
      </c>
      <c r="E1291" s="18">
        <v>2</v>
      </c>
      <c r="F1291" s="18">
        <v>0</v>
      </c>
      <c r="G1291" s="18">
        <v>0</v>
      </c>
      <c r="H1291" s="18">
        <v>0</v>
      </c>
      <c r="I1291" s="18">
        <v>1</v>
      </c>
      <c r="J1291" s="18">
        <v>0</v>
      </c>
      <c r="K1291" s="18">
        <v>0</v>
      </c>
      <c r="T1291" s="3">
        <f t="shared" si="40"/>
        <v>3</v>
      </c>
      <c r="U1291" s="3">
        <v>4</v>
      </c>
      <c r="V1291" s="3">
        <v>4</v>
      </c>
      <c r="X1291" s="2" t="s">
        <v>776</v>
      </c>
      <c r="Y1291" s="18">
        <v>1</v>
      </c>
      <c r="Z1291" s="18">
        <v>0</v>
      </c>
      <c r="AA1291" s="18">
        <v>2</v>
      </c>
      <c r="AB1291" s="18">
        <v>5</v>
      </c>
      <c r="AC1291" s="18">
        <v>0</v>
      </c>
      <c r="AD1291" s="18">
        <v>0</v>
      </c>
      <c r="AE1291" s="18" t="s">
        <v>162</v>
      </c>
      <c r="AN1291" s="3">
        <f t="shared" si="39"/>
        <v>8</v>
      </c>
      <c r="AO1291" s="3">
        <v>10</v>
      </c>
      <c r="AP1291" s="3">
        <v>2</v>
      </c>
      <c r="AR1291" s="2" t="s">
        <v>1989</v>
      </c>
    </row>
    <row r="1292" spans="1:44" ht="12.75" customHeight="1">
      <c r="A1292" s="5">
        <v>41038</v>
      </c>
      <c r="C1292" s="2" t="s">
        <v>367</v>
      </c>
      <c r="E1292" s="18">
        <v>0</v>
      </c>
      <c r="F1292" s="18">
        <v>0</v>
      </c>
      <c r="G1292" s="18">
        <v>0</v>
      </c>
      <c r="H1292" s="18">
        <v>0</v>
      </c>
      <c r="I1292" s="18">
        <v>0</v>
      </c>
      <c r="J1292" s="18">
        <v>0</v>
      </c>
      <c r="K1292" s="18">
        <v>0</v>
      </c>
      <c r="T1292" s="3">
        <f t="shared" si="40"/>
        <v>0</v>
      </c>
      <c r="U1292" s="3">
        <v>4</v>
      </c>
      <c r="V1292" s="3">
        <v>2</v>
      </c>
      <c r="X1292" s="2" t="s">
        <v>2030</v>
      </c>
      <c r="Y1292" s="18">
        <v>3</v>
      </c>
      <c r="Z1292" s="18">
        <v>1</v>
      </c>
      <c r="AA1292" s="18">
        <v>0</v>
      </c>
      <c r="AB1292" s="18">
        <v>1</v>
      </c>
      <c r="AC1292" s="18">
        <v>0</v>
      </c>
      <c r="AD1292" s="18">
        <v>0</v>
      </c>
      <c r="AE1292" s="18">
        <v>1</v>
      </c>
      <c r="AN1292" s="3">
        <f t="shared" si="39"/>
        <v>6</v>
      </c>
      <c r="AO1292" s="3">
        <v>12</v>
      </c>
      <c r="AP1292" s="3">
        <v>0</v>
      </c>
      <c r="AR1292" s="2" t="s">
        <v>2031</v>
      </c>
    </row>
    <row r="1293" spans="1:44" ht="12.75" customHeight="1">
      <c r="A1293" s="5">
        <v>43250</v>
      </c>
      <c r="B1293" s="2" t="s">
        <v>239</v>
      </c>
      <c r="C1293" s="2" t="s">
        <v>367</v>
      </c>
      <c r="D1293" s="2" t="s">
        <v>258</v>
      </c>
      <c r="E1293" s="18">
        <v>0</v>
      </c>
      <c r="F1293" s="18">
        <v>0</v>
      </c>
      <c r="G1293" s="18">
        <v>0</v>
      </c>
      <c r="H1293" s="18">
        <v>1</v>
      </c>
      <c r="I1293" s="18">
        <v>0</v>
      </c>
      <c r="J1293" s="18">
        <v>0</v>
      </c>
      <c r="K1293" s="18">
        <v>1</v>
      </c>
      <c r="T1293" s="3">
        <f>SUM(E1293:S1293)</f>
        <v>2</v>
      </c>
      <c r="U1293" s="3">
        <v>4</v>
      </c>
      <c r="V1293" s="3">
        <v>2</v>
      </c>
      <c r="X1293" s="2" t="s">
        <v>2232</v>
      </c>
      <c r="Y1293" s="18">
        <v>1</v>
      </c>
      <c r="Z1293" s="18">
        <v>0</v>
      </c>
      <c r="AA1293" s="18">
        <v>0</v>
      </c>
      <c r="AB1293" s="18">
        <v>1</v>
      </c>
      <c r="AC1293" s="18">
        <v>0</v>
      </c>
      <c r="AD1293" s="18">
        <v>0</v>
      </c>
      <c r="AE1293" s="18">
        <v>1</v>
      </c>
      <c r="AN1293" s="3">
        <f>SUM(Y1293:AM1293)</f>
        <v>3</v>
      </c>
      <c r="AO1293" s="3">
        <v>3</v>
      </c>
      <c r="AP1293" s="3">
        <v>0</v>
      </c>
      <c r="AR1293" s="2" t="s">
        <v>2236</v>
      </c>
    </row>
    <row r="1294" spans="1:44" ht="12.75" customHeight="1">
      <c r="A1294" s="5">
        <v>43609</v>
      </c>
      <c r="B1294" s="2" t="s">
        <v>239</v>
      </c>
      <c r="C1294" s="2" t="s">
        <v>367</v>
      </c>
      <c r="D1294" s="2" t="s">
        <v>258</v>
      </c>
      <c r="E1294" s="18">
        <v>1</v>
      </c>
      <c r="F1294" s="18">
        <v>0</v>
      </c>
      <c r="G1294" s="18">
        <v>0</v>
      </c>
      <c r="H1294" s="18">
        <v>0</v>
      </c>
      <c r="I1294" s="18">
        <v>4</v>
      </c>
      <c r="J1294" s="18">
        <v>0</v>
      </c>
      <c r="K1294" s="18">
        <v>0</v>
      </c>
      <c r="T1294" s="3">
        <f>SUM(E1294:S1294)</f>
        <v>5</v>
      </c>
      <c r="U1294" s="3">
        <v>3</v>
      </c>
      <c r="V1294" s="3">
        <v>1</v>
      </c>
      <c r="X1294" s="2" t="s">
        <v>2251</v>
      </c>
      <c r="Y1294" s="18">
        <v>1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N1294" s="3">
        <f>SUM(Y1294:AM1294)</f>
        <v>1</v>
      </c>
      <c r="AO1294" s="3">
        <v>2</v>
      </c>
      <c r="AP1294" s="3">
        <v>4</v>
      </c>
      <c r="AR1294" s="2" t="s">
        <v>2250</v>
      </c>
    </row>
    <row r="1295" spans="1:44" ht="12.75" customHeight="1">
      <c r="A1295" s="5">
        <v>44342</v>
      </c>
      <c r="B1295" s="2" t="s">
        <v>239</v>
      </c>
      <c r="C1295" s="2" t="s">
        <v>367</v>
      </c>
      <c r="D1295" s="2" t="s">
        <v>258</v>
      </c>
      <c r="E1295" s="18">
        <v>0</v>
      </c>
      <c r="F1295" s="18">
        <v>1</v>
      </c>
      <c r="G1295" s="18">
        <v>1</v>
      </c>
      <c r="H1295" s="18">
        <v>0</v>
      </c>
      <c r="I1295" s="18">
        <v>0</v>
      </c>
      <c r="J1295" s="18">
        <v>0</v>
      </c>
      <c r="K1295" s="18" t="s">
        <v>162</v>
      </c>
      <c r="T1295" s="3">
        <f>SUM(E1295:S1295)</f>
        <v>2</v>
      </c>
      <c r="U1295" s="3">
        <v>6</v>
      </c>
      <c r="V1295" s="3">
        <v>2</v>
      </c>
      <c r="X1295" s="2" t="s">
        <v>2238</v>
      </c>
      <c r="Y1295" s="18">
        <v>0</v>
      </c>
      <c r="Z1295" s="18">
        <v>0</v>
      </c>
      <c r="AA1295" s="18">
        <v>0</v>
      </c>
      <c r="AB1295" s="18">
        <v>1</v>
      </c>
      <c r="AC1295" s="18">
        <v>0</v>
      </c>
      <c r="AD1295" s="18">
        <v>0</v>
      </c>
      <c r="AE1295" s="18">
        <v>0</v>
      </c>
      <c r="AN1295" s="3">
        <f>SUM(Y1295:AM1295)</f>
        <v>1</v>
      </c>
      <c r="AO1295" s="3">
        <v>4</v>
      </c>
      <c r="AP1295" s="3">
        <v>0</v>
      </c>
      <c r="AR1295" s="2" t="s">
        <v>2241</v>
      </c>
    </row>
    <row r="1296" spans="1:44" ht="12.75">
      <c r="A1296" s="5">
        <v>44664</v>
      </c>
      <c r="C1296" s="2" t="s">
        <v>367</v>
      </c>
      <c r="E1296" s="18">
        <v>1</v>
      </c>
      <c r="F1296" s="18">
        <v>0</v>
      </c>
      <c r="G1296" s="18">
        <v>1</v>
      </c>
      <c r="H1296" s="18">
        <v>2</v>
      </c>
      <c r="I1296" s="18">
        <v>2</v>
      </c>
      <c r="J1296" s="18">
        <v>3</v>
      </c>
      <c r="K1296" s="18" t="s">
        <v>162</v>
      </c>
      <c r="T1296" s="3">
        <v>9</v>
      </c>
      <c r="U1296" s="3">
        <v>9</v>
      </c>
      <c r="V1296" s="3">
        <v>0</v>
      </c>
      <c r="X1296" s="2" t="s">
        <v>2341</v>
      </c>
      <c r="Y1296" s="18">
        <v>0</v>
      </c>
      <c r="Z1296" s="18">
        <v>0</v>
      </c>
      <c r="AA1296" s="18">
        <v>0</v>
      </c>
      <c r="AB1296" s="18">
        <v>0</v>
      </c>
      <c r="AC1296" s="18">
        <v>1</v>
      </c>
      <c r="AD1296" s="18">
        <v>1</v>
      </c>
      <c r="AE1296" s="18">
        <v>1</v>
      </c>
      <c r="AN1296" s="3">
        <v>3</v>
      </c>
      <c r="AO1296" s="3">
        <v>4</v>
      </c>
      <c r="AP1296" s="3">
        <v>2</v>
      </c>
      <c r="AR1296" s="28" t="s">
        <v>2342</v>
      </c>
    </row>
    <row r="1297" spans="1:44" ht="12.75">
      <c r="A1297" s="5">
        <v>44707</v>
      </c>
      <c r="B1297" s="2" t="s">
        <v>239</v>
      </c>
      <c r="C1297" s="2" t="s">
        <v>367</v>
      </c>
      <c r="D1297" s="2" t="s">
        <v>258</v>
      </c>
      <c r="E1297" s="18">
        <v>1</v>
      </c>
      <c r="F1297" s="18">
        <v>2</v>
      </c>
      <c r="G1297" s="18">
        <v>0</v>
      </c>
      <c r="H1297" s="18">
        <v>0</v>
      </c>
      <c r="I1297" s="18">
        <v>3</v>
      </c>
      <c r="J1297" s="18">
        <v>3</v>
      </c>
      <c r="K1297" s="18" t="s">
        <v>162</v>
      </c>
      <c r="T1297" s="3">
        <v>9</v>
      </c>
      <c r="U1297" s="3">
        <v>11</v>
      </c>
      <c r="V1297" s="3">
        <v>0</v>
      </c>
      <c r="X1297" s="2" t="s">
        <v>2290</v>
      </c>
      <c r="Y1297" s="18">
        <v>0</v>
      </c>
      <c r="Z1297" s="18">
        <v>2</v>
      </c>
      <c r="AA1297" s="18">
        <v>0</v>
      </c>
      <c r="AB1297" s="18">
        <v>0</v>
      </c>
      <c r="AC1297" s="18">
        <v>3</v>
      </c>
      <c r="AD1297" s="18">
        <v>0</v>
      </c>
      <c r="AE1297" s="18">
        <v>0</v>
      </c>
      <c r="AN1297" s="3">
        <v>5</v>
      </c>
      <c r="AO1297" s="3">
        <v>9</v>
      </c>
      <c r="AP1297" s="3">
        <v>1</v>
      </c>
      <c r="AR1297" s="2" t="s">
        <v>2368</v>
      </c>
    </row>
    <row r="1298" spans="1:44" ht="12.75" customHeight="1">
      <c r="A1298" s="4">
        <f>DATE(86,3,27)</f>
        <v>31498</v>
      </c>
      <c r="B1298" s="2" t="s">
        <v>152</v>
      </c>
      <c r="C1298" s="2" t="s">
        <v>1518</v>
      </c>
      <c r="E1298" s="18">
        <v>0</v>
      </c>
      <c r="F1298" s="18">
        <v>0</v>
      </c>
      <c r="G1298" s="18">
        <v>1</v>
      </c>
      <c r="H1298" s="18">
        <v>1</v>
      </c>
      <c r="I1298" s="18">
        <v>1</v>
      </c>
      <c r="J1298" s="18">
        <v>1</v>
      </c>
      <c r="K1298" s="18">
        <v>10</v>
      </c>
      <c r="T1298" s="3">
        <v>14</v>
      </c>
      <c r="U1298" s="3">
        <v>6</v>
      </c>
      <c r="V1298" s="3">
        <v>1</v>
      </c>
      <c r="X1298" s="2" t="s">
        <v>1519</v>
      </c>
      <c r="Y1298" s="18">
        <v>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N1298" s="3">
        <v>0</v>
      </c>
      <c r="AO1298" s="3">
        <v>3</v>
      </c>
      <c r="AP1298" s="3">
        <v>5</v>
      </c>
      <c r="AR1298" s="2" t="s">
        <v>1520</v>
      </c>
    </row>
    <row r="1299" spans="1:44" ht="12.75" customHeight="1">
      <c r="A1299" s="4">
        <v>15111</v>
      </c>
      <c r="C1299" s="2" t="s">
        <v>175</v>
      </c>
      <c r="E1299" s="18">
        <v>2</v>
      </c>
      <c r="F1299" s="18">
        <v>11</v>
      </c>
      <c r="G1299" s="18">
        <v>0</v>
      </c>
      <c r="H1299" s="18">
        <v>2</v>
      </c>
      <c r="I1299" s="18">
        <v>3</v>
      </c>
      <c r="J1299" s="18">
        <v>0</v>
      </c>
      <c r="K1299" s="18" t="s">
        <v>162</v>
      </c>
      <c r="T1299" s="3">
        <v>18</v>
      </c>
      <c r="U1299" s="3">
        <v>18</v>
      </c>
      <c r="V1299" s="3">
        <v>0</v>
      </c>
      <c r="X1299" s="2" t="s">
        <v>1747</v>
      </c>
      <c r="Y1299" s="18"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N1299" s="3">
        <v>0</v>
      </c>
      <c r="AO1299" s="3">
        <v>1</v>
      </c>
      <c r="AP1299" s="3">
        <v>2</v>
      </c>
      <c r="AR1299" s="2" t="s">
        <v>49</v>
      </c>
    </row>
    <row r="1300" spans="1:44" ht="12.75" customHeight="1">
      <c r="A1300" s="4">
        <v>15125</v>
      </c>
      <c r="B1300" s="2" t="s">
        <v>152</v>
      </c>
      <c r="C1300" s="2" t="s">
        <v>175</v>
      </c>
      <c r="E1300" s="18">
        <v>3</v>
      </c>
      <c r="F1300" s="18">
        <v>0</v>
      </c>
      <c r="G1300" s="18">
        <v>1</v>
      </c>
      <c r="H1300" s="18">
        <v>1</v>
      </c>
      <c r="I1300" s="18">
        <v>0</v>
      </c>
      <c r="J1300" s="18">
        <v>0</v>
      </c>
      <c r="K1300" s="18">
        <v>8</v>
      </c>
      <c r="T1300" s="3">
        <v>13</v>
      </c>
      <c r="U1300" s="3">
        <v>18</v>
      </c>
      <c r="V1300" s="3" t="s">
        <v>162</v>
      </c>
      <c r="X1300" s="2" t="s">
        <v>1748</v>
      </c>
      <c r="Y1300" s="18">
        <v>0</v>
      </c>
      <c r="Z1300" s="18">
        <v>2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N1300" s="3">
        <v>2</v>
      </c>
      <c r="AO1300" s="3">
        <v>5</v>
      </c>
      <c r="AP1300" s="3" t="s">
        <v>162</v>
      </c>
      <c r="AR1300" s="2" t="s">
        <v>52</v>
      </c>
    </row>
    <row r="1301" spans="1:44" ht="12.75" customHeight="1">
      <c r="A1301" s="4">
        <v>18018</v>
      </c>
      <c r="C1301" s="2" t="s">
        <v>175</v>
      </c>
      <c r="E1301" s="18">
        <v>1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1</v>
      </c>
      <c r="T1301" s="3">
        <v>2</v>
      </c>
      <c r="U1301" s="3">
        <v>7</v>
      </c>
      <c r="V1301" s="3">
        <v>1</v>
      </c>
      <c r="X1301" s="2" t="s">
        <v>76</v>
      </c>
      <c r="Y1301" s="18">
        <v>0</v>
      </c>
      <c r="Z1301" s="18">
        <v>0</v>
      </c>
      <c r="AA1301" s="18">
        <v>1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N1301" s="3">
        <v>1</v>
      </c>
      <c r="AO1301" s="3">
        <v>6</v>
      </c>
      <c r="AP1301" s="3">
        <v>3</v>
      </c>
      <c r="AR1301" s="2" t="s">
        <v>334</v>
      </c>
    </row>
    <row r="1302" spans="1:44" ht="12.75" customHeight="1">
      <c r="A1302" s="4">
        <v>18025</v>
      </c>
      <c r="B1302" s="2" t="s">
        <v>152</v>
      </c>
      <c r="C1302" s="2" t="s">
        <v>175</v>
      </c>
      <c r="E1302" s="18">
        <v>1</v>
      </c>
      <c r="F1302" s="18">
        <v>1</v>
      </c>
      <c r="G1302" s="18">
        <v>1</v>
      </c>
      <c r="H1302" s="18">
        <v>1</v>
      </c>
      <c r="I1302" s="18">
        <v>0</v>
      </c>
      <c r="J1302" s="18">
        <v>0</v>
      </c>
      <c r="K1302" s="18">
        <v>0</v>
      </c>
      <c r="T1302" s="3">
        <v>4</v>
      </c>
      <c r="U1302" s="3">
        <v>12</v>
      </c>
      <c r="V1302" s="3">
        <v>1</v>
      </c>
      <c r="X1302" s="2" t="s">
        <v>80</v>
      </c>
      <c r="Y1302" s="18">
        <v>0</v>
      </c>
      <c r="Z1302" s="18">
        <v>0</v>
      </c>
      <c r="AA1302" s="18">
        <v>2</v>
      </c>
      <c r="AB1302" s="18">
        <v>0</v>
      </c>
      <c r="AC1302" s="18">
        <v>3</v>
      </c>
      <c r="AD1302" s="18">
        <v>2</v>
      </c>
      <c r="AE1302" s="18" t="s">
        <v>162</v>
      </c>
      <c r="AN1302" s="3">
        <v>7</v>
      </c>
      <c r="AO1302" s="3">
        <v>6</v>
      </c>
      <c r="AP1302" s="3">
        <v>5</v>
      </c>
      <c r="AR1302" s="2" t="s">
        <v>334</v>
      </c>
    </row>
    <row r="1303" spans="1:44" ht="12.75" customHeight="1">
      <c r="A1303" s="4">
        <v>18381</v>
      </c>
      <c r="B1303" s="2" t="s">
        <v>152</v>
      </c>
      <c r="C1303" s="2" t="s">
        <v>175</v>
      </c>
      <c r="E1303" s="18">
        <v>0</v>
      </c>
      <c r="F1303" s="18">
        <v>2</v>
      </c>
      <c r="G1303" s="18">
        <v>0</v>
      </c>
      <c r="H1303" s="18">
        <v>0</v>
      </c>
      <c r="I1303" s="18">
        <v>1</v>
      </c>
      <c r="J1303" s="18">
        <v>2</v>
      </c>
      <c r="K1303" s="18">
        <v>1</v>
      </c>
      <c r="T1303" s="3">
        <f aca="true" t="shared" si="41" ref="T1303:T1310">SUM(E1303:M1303)</f>
        <v>6</v>
      </c>
      <c r="U1303" s="3">
        <v>9</v>
      </c>
      <c r="V1303" s="3">
        <v>3</v>
      </c>
      <c r="X1303" s="2" t="s">
        <v>410</v>
      </c>
      <c r="Y1303" s="18">
        <v>0</v>
      </c>
      <c r="Z1303" s="18">
        <v>1</v>
      </c>
      <c r="AA1303" s="18">
        <v>0</v>
      </c>
      <c r="AB1303" s="18">
        <v>1</v>
      </c>
      <c r="AC1303" s="18">
        <v>1</v>
      </c>
      <c r="AD1303" s="18">
        <v>0</v>
      </c>
      <c r="AE1303" s="18">
        <v>1</v>
      </c>
      <c r="AN1303" s="3">
        <v>4</v>
      </c>
      <c r="AO1303" s="3">
        <v>7</v>
      </c>
      <c r="AP1303" s="3">
        <v>8</v>
      </c>
      <c r="AR1303" s="2" t="s">
        <v>1935</v>
      </c>
    </row>
    <row r="1304" spans="1:44" ht="12.75" customHeight="1">
      <c r="A1304" s="4">
        <v>18388</v>
      </c>
      <c r="C1304" s="2" t="s">
        <v>175</v>
      </c>
      <c r="E1304" s="18">
        <v>5</v>
      </c>
      <c r="F1304" s="18">
        <v>0</v>
      </c>
      <c r="G1304" s="18">
        <v>1</v>
      </c>
      <c r="H1304" s="18">
        <v>2</v>
      </c>
      <c r="I1304" s="18">
        <v>0</v>
      </c>
      <c r="J1304" s="18">
        <v>3</v>
      </c>
      <c r="K1304" s="18" t="s">
        <v>162</v>
      </c>
      <c r="T1304" s="3">
        <f t="shared" si="41"/>
        <v>11</v>
      </c>
      <c r="U1304" s="3">
        <v>9</v>
      </c>
      <c r="V1304" s="3">
        <v>1</v>
      </c>
      <c r="X1304" s="2" t="s">
        <v>412</v>
      </c>
      <c r="Y1304" s="18">
        <v>0</v>
      </c>
      <c r="Z1304" s="18">
        <v>0</v>
      </c>
      <c r="AA1304" s="18">
        <v>1</v>
      </c>
      <c r="AB1304" s="18">
        <v>0</v>
      </c>
      <c r="AC1304" s="18">
        <v>0</v>
      </c>
      <c r="AD1304" s="18">
        <v>0</v>
      </c>
      <c r="AE1304" s="18">
        <v>0</v>
      </c>
      <c r="AN1304" s="3">
        <v>1</v>
      </c>
      <c r="AO1304" s="3">
        <v>6</v>
      </c>
      <c r="AP1304" s="3">
        <v>3</v>
      </c>
      <c r="AR1304" s="2" t="s">
        <v>1937</v>
      </c>
    </row>
    <row r="1305" spans="1:44" ht="12.75" customHeight="1">
      <c r="A1305" s="4">
        <f>DATE(51,4,27)</f>
        <v>18745</v>
      </c>
      <c r="C1305" s="2" t="s">
        <v>175</v>
      </c>
      <c r="E1305" s="18">
        <v>0</v>
      </c>
      <c r="F1305" s="18">
        <v>1</v>
      </c>
      <c r="G1305" s="18">
        <v>1</v>
      </c>
      <c r="H1305" s="18">
        <v>0</v>
      </c>
      <c r="I1305" s="18">
        <v>0</v>
      </c>
      <c r="J1305" s="18">
        <v>0</v>
      </c>
      <c r="K1305" s="18">
        <v>3</v>
      </c>
      <c r="T1305" s="3">
        <f t="shared" si="41"/>
        <v>5</v>
      </c>
      <c r="U1305" s="3">
        <v>5</v>
      </c>
      <c r="V1305" s="3">
        <v>2</v>
      </c>
      <c r="X1305" s="2" t="s">
        <v>417</v>
      </c>
      <c r="Y1305" s="18">
        <v>0</v>
      </c>
      <c r="Z1305" s="18">
        <v>1</v>
      </c>
      <c r="AA1305" s="18">
        <v>2</v>
      </c>
      <c r="AB1305" s="18">
        <v>0</v>
      </c>
      <c r="AC1305" s="18">
        <v>0</v>
      </c>
      <c r="AD1305" s="18">
        <v>1</v>
      </c>
      <c r="AE1305" s="18">
        <v>0</v>
      </c>
      <c r="AN1305" s="3">
        <v>4</v>
      </c>
      <c r="AO1305" s="3">
        <v>8</v>
      </c>
      <c r="AP1305" s="3">
        <v>0</v>
      </c>
      <c r="AR1305" s="2" t="s">
        <v>1944</v>
      </c>
    </row>
    <row r="1306" spans="1:44" ht="12.75" customHeight="1">
      <c r="A1306" s="4">
        <f>DATE(51,5,4)</f>
        <v>18752</v>
      </c>
      <c r="B1306" s="2" t="s">
        <v>152</v>
      </c>
      <c r="C1306" s="2" t="s">
        <v>175</v>
      </c>
      <c r="E1306" s="18">
        <v>0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T1306" s="3">
        <f t="shared" si="41"/>
        <v>0</v>
      </c>
      <c r="U1306" s="3">
        <v>4</v>
      </c>
      <c r="V1306" s="3">
        <v>1</v>
      </c>
      <c r="X1306" s="2" t="s">
        <v>420</v>
      </c>
      <c r="Y1306" s="18">
        <v>0</v>
      </c>
      <c r="Z1306" s="18">
        <v>2</v>
      </c>
      <c r="AA1306" s="18">
        <v>0</v>
      </c>
      <c r="AB1306" s="18">
        <v>0</v>
      </c>
      <c r="AC1306" s="18">
        <v>0</v>
      </c>
      <c r="AD1306" s="18">
        <v>0</v>
      </c>
      <c r="AE1306" s="18" t="s">
        <v>162</v>
      </c>
      <c r="AN1306" s="3">
        <v>2</v>
      </c>
      <c r="AO1306" s="3">
        <v>6</v>
      </c>
      <c r="AP1306" s="3">
        <v>5</v>
      </c>
      <c r="AR1306" s="2" t="s">
        <v>421</v>
      </c>
    </row>
    <row r="1307" spans="1:44" ht="12.75" customHeight="1">
      <c r="A1307" s="4">
        <f>DATE(52,5,1)</f>
        <v>19115</v>
      </c>
      <c r="B1307" s="2" t="s">
        <v>152</v>
      </c>
      <c r="C1307" s="2" t="s">
        <v>175</v>
      </c>
      <c r="E1307" s="18">
        <v>0</v>
      </c>
      <c r="F1307" s="18">
        <v>0</v>
      </c>
      <c r="G1307" s="18">
        <v>0</v>
      </c>
      <c r="H1307" s="18">
        <v>0</v>
      </c>
      <c r="I1307" s="18">
        <v>0</v>
      </c>
      <c r="J1307" s="18">
        <v>0</v>
      </c>
      <c r="K1307" s="18">
        <v>0</v>
      </c>
      <c r="T1307" s="3">
        <f t="shared" si="41"/>
        <v>0</v>
      </c>
      <c r="U1307" s="3">
        <v>2</v>
      </c>
      <c r="V1307" s="3">
        <v>3</v>
      </c>
      <c r="X1307" s="2" t="s">
        <v>637</v>
      </c>
      <c r="Y1307" s="18">
        <v>1</v>
      </c>
      <c r="Z1307" s="18">
        <v>0</v>
      </c>
      <c r="AA1307" s="18">
        <v>2</v>
      </c>
      <c r="AB1307" s="18">
        <v>0</v>
      </c>
      <c r="AC1307" s="18">
        <v>0</v>
      </c>
      <c r="AD1307" s="18">
        <v>0</v>
      </c>
      <c r="AE1307" s="18" t="s">
        <v>162</v>
      </c>
      <c r="AN1307" s="3">
        <v>3</v>
      </c>
      <c r="AO1307" s="3">
        <v>6</v>
      </c>
      <c r="AP1307" s="3">
        <v>2</v>
      </c>
      <c r="AR1307" s="2" t="s">
        <v>638</v>
      </c>
    </row>
    <row r="1308" spans="1:44" ht="12.75" customHeight="1">
      <c r="A1308" s="4">
        <f>DATE(52,5,6)</f>
        <v>19120</v>
      </c>
      <c r="C1308" s="2" t="s">
        <v>175</v>
      </c>
      <c r="E1308" s="18">
        <v>0</v>
      </c>
      <c r="F1308" s="18">
        <v>0</v>
      </c>
      <c r="G1308" s="18">
        <v>2</v>
      </c>
      <c r="H1308" s="18">
        <v>0</v>
      </c>
      <c r="I1308" s="18">
        <v>0</v>
      </c>
      <c r="J1308" s="18">
        <v>0</v>
      </c>
      <c r="K1308" s="18">
        <v>1</v>
      </c>
      <c r="T1308" s="3">
        <f t="shared" si="41"/>
        <v>3</v>
      </c>
      <c r="U1308" s="3">
        <v>5</v>
      </c>
      <c r="V1308" s="3">
        <v>5</v>
      </c>
      <c r="X1308" s="2" t="s">
        <v>635</v>
      </c>
      <c r="Y1308" s="18">
        <v>0</v>
      </c>
      <c r="Z1308" s="18">
        <v>0</v>
      </c>
      <c r="AA1308" s="18">
        <v>4</v>
      </c>
      <c r="AB1308" s="18">
        <v>0</v>
      </c>
      <c r="AC1308" s="18">
        <v>1</v>
      </c>
      <c r="AD1308" s="18">
        <v>1</v>
      </c>
      <c r="AE1308" s="18">
        <v>0</v>
      </c>
      <c r="AN1308" s="3">
        <v>6</v>
      </c>
      <c r="AO1308" s="3">
        <v>4</v>
      </c>
      <c r="AP1308" s="3">
        <v>2</v>
      </c>
      <c r="AR1308" s="2" t="s">
        <v>640</v>
      </c>
    </row>
    <row r="1309" spans="1:44" ht="12.75" customHeight="1">
      <c r="A1309" s="4">
        <f>DATE(53,4,24)</f>
        <v>19473</v>
      </c>
      <c r="C1309" s="2" t="s">
        <v>175</v>
      </c>
      <c r="E1309" s="18">
        <v>2</v>
      </c>
      <c r="F1309" s="18">
        <v>2</v>
      </c>
      <c r="G1309" s="18">
        <v>0</v>
      </c>
      <c r="H1309" s="18">
        <v>0</v>
      </c>
      <c r="I1309" s="18">
        <v>2</v>
      </c>
      <c r="J1309" s="18">
        <v>4</v>
      </c>
      <c r="K1309" s="18" t="s">
        <v>162</v>
      </c>
      <c r="T1309" s="3">
        <f t="shared" si="41"/>
        <v>10</v>
      </c>
      <c r="U1309" s="3">
        <v>11</v>
      </c>
      <c r="V1309" s="3">
        <v>2</v>
      </c>
      <c r="X1309" s="2" t="s">
        <v>635</v>
      </c>
      <c r="Y1309" s="18">
        <v>1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1</v>
      </c>
      <c r="AN1309" s="3">
        <v>2</v>
      </c>
      <c r="AO1309" s="3">
        <v>4</v>
      </c>
      <c r="AP1309" s="3">
        <v>3</v>
      </c>
      <c r="AR1309" s="2" t="s">
        <v>1935</v>
      </c>
    </row>
    <row r="1310" spans="1:44" ht="12.75" customHeight="1">
      <c r="A1310" s="4">
        <f>DATE(53,5,6)</f>
        <v>19485</v>
      </c>
      <c r="B1310" s="2" t="s">
        <v>152</v>
      </c>
      <c r="C1310" s="2" t="s">
        <v>175</v>
      </c>
      <c r="E1310" s="18">
        <v>0</v>
      </c>
      <c r="F1310" s="18">
        <v>0</v>
      </c>
      <c r="G1310" s="18">
        <v>1</v>
      </c>
      <c r="H1310" s="18">
        <v>0</v>
      </c>
      <c r="I1310" s="18">
        <v>0</v>
      </c>
      <c r="J1310" s="18">
        <v>0</v>
      </c>
      <c r="K1310" s="18">
        <v>2</v>
      </c>
      <c r="T1310" s="3">
        <f t="shared" si="41"/>
        <v>3</v>
      </c>
      <c r="U1310" s="3">
        <v>9</v>
      </c>
      <c r="V1310" s="3">
        <v>2</v>
      </c>
      <c r="X1310" s="2" t="s">
        <v>1942</v>
      </c>
      <c r="Y1310" s="18">
        <v>0</v>
      </c>
      <c r="Z1310" s="18">
        <v>0</v>
      </c>
      <c r="AA1310" s="18">
        <v>3</v>
      </c>
      <c r="AB1310" s="18">
        <v>0</v>
      </c>
      <c r="AC1310" s="18">
        <v>0</v>
      </c>
      <c r="AD1310" s="18">
        <v>0</v>
      </c>
      <c r="AE1310" s="18">
        <v>1</v>
      </c>
      <c r="AN1310" s="3">
        <v>4</v>
      </c>
      <c r="AO1310" s="3">
        <v>5</v>
      </c>
      <c r="AP1310" s="3">
        <v>0</v>
      </c>
      <c r="AR1310" s="2" t="s">
        <v>3</v>
      </c>
    </row>
    <row r="1311" spans="1:44" ht="12.75" customHeight="1">
      <c r="A1311" s="4">
        <f>DATE(54,5,4)</f>
        <v>19848</v>
      </c>
      <c r="B1311" s="2" t="s">
        <v>152</v>
      </c>
      <c r="C1311" s="2" t="s">
        <v>175</v>
      </c>
      <c r="E1311" s="18">
        <v>2</v>
      </c>
      <c r="F1311" s="18">
        <v>0</v>
      </c>
      <c r="G1311" s="18">
        <v>0</v>
      </c>
      <c r="H1311" s="18">
        <v>0</v>
      </c>
      <c r="I1311" s="18">
        <v>2</v>
      </c>
      <c r="J1311" s="18">
        <v>4</v>
      </c>
      <c r="K1311" s="18">
        <v>0</v>
      </c>
      <c r="T1311" s="3">
        <v>8</v>
      </c>
      <c r="U1311" s="3">
        <v>12</v>
      </c>
      <c r="V1311" s="3">
        <v>3</v>
      </c>
      <c r="X1311" s="2" t="s">
        <v>659</v>
      </c>
      <c r="Y1311" s="18">
        <v>3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N1311" s="3">
        <v>3</v>
      </c>
      <c r="AO1311" s="3">
        <v>8</v>
      </c>
      <c r="AP1311" s="3">
        <v>3</v>
      </c>
      <c r="AR1311" s="2" t="s">
        <v>207</v>
      </c>
    </row>
    <row r="1312" spans="1:44" ht="12.75" customHeight="1">
      <c r="A1312" s="4">
        <f>DATE(54,5,4)</f>
        <v>19848</v>
      </c>
      <c r="B1312" s="2" t="s">
        <v>152</v>
      </c>
      <c r="C1312" s="2" t="s">
        <v>175</v>
      </c>
      <c r="E1312" s="18">
        <v>0</v>
      </c>
      <c r="F1312" s="18">
        <v>0</v>
      </c>
      <c r="G1312" s="18">
        <v>0</v>
      </c>
      <c r="H1312" s="18">
        <v>1</v>
      </c>
      <c r="I1312" s="18">
        <v>0</v>
      </c>
      <c r="T1312" s="3">
        <v>1</v>
      </c>
      <c r="U1312" s="3">
        <v>3</v>
      </c>
      <c r="V1312" s="3">
        <v>2</v>
      </c>
      <c r="X1312" s="2" t="s">
        <v>661</v>
      </c>
      <c r="Y1312" s="18">
        <v>3</v>
      </c>
      <c r="Z1312" s="18">
        <v>0</v>
      </c>
      <c r="AA1312" s="18">
        <v>0</v>
      </c>
      <c r="AB1312" s="18">
        <v>1</v>
      </c>
      <c r="AC1312" s="18">
        <v>0</v>
      </c>
      <c r="AN1312" s="3">
        <v>4</v>
      </c>
      <c r="AO1312" s="3">
        <v>8</v>
      </c>
      <c r="AP1312" s="3">
        <v>1</v>
      </c>
      <c r="AR1312" s="2" t="s">
        <v>218</v>
      </c>
    </row>
    <row r="1313" spans="1:44" ht="12.75" customHeight="1">
      <c r="A1313" s="4">
        <f>DATE(55,4,22)</f>
        <v>20201</v>
      </c>
      <c r="C1313" s="2" t="s">
        <v>175</v>
      </c>
      <c r="E1313" s="18">
        <v>3</v>
      </c>
      <c r="F1313" s="18">
        <v>1</v>
      </c>
      <c r="G1313" s="18">
        <v>0</v>
      </c>
      <c r="H1313" s="18">
        <v>0</v>
      </c>
      <c r="I1313" s="18">
        <v>1</v>
      </c>
      <c r="J1313" s="18">
        <v>0</v>
      </c>
      <c r="K1313" s="18" t="s">
        <v>162</v>
      </c>
      <c r="T1313" s="3">
        <v>5</v>
      </c>
      <c r="U1313" s="3">
        <v>6</v>
      </c>
      <c r="V1313" s="3">
        <v>0</v>
      </c>
      <c r="X1313" s="2" t="s">
        <v>663</v>
      </c>
      <c r="Y1313" s="18">
        <v>0</v>
      </c>
      <c r="Z1313" s="18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N1313" s="3">
        <v>0</v>
      </c>
      <c r="AO1313" s="3">
        <v>1</v>
      </c>
      <c r="AP1313" s="3">
        <v>2</v>
      </c>
      <c r="AR1313" s="2" t="s">
        <v>667</v>
      </c>
    </row>
    <row r="1314" spans="1:44" ht="12.75" customHeight="1">
      <c r="A1314" s="4">
        <f>DATE(55,5,3)</f>
        <v>20212</v>
      </c>
      <c r="B1314" s="2" t="s">
        <v>152</v>
      </c>
      <c r="C1314" s="2" t="s">
        <v>175</v>
      </c>
      <c r="E1314" s="18">
        <v>0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T1314" s="3">
        <v>0</v>
      </c>
      <c r="U1314" s="3">
        <v>3</v>
      </c>
      <c r="V1314" s="3">
        <v>4</v>
      </c>
      <c r="X1314" s="2" t="s">
        <v>670</v>
      </c>
      <c r="Y1314" s="18">
        <v>0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  <c r="AE1314" s="18">
        <v>1</v>
      </c>
      <c r="AN1314" s="3">
        <v>1</v>
      </c>
      <c r="AO1314" s="3">
        <v>2</v>
      </c>
      <c r="AP1314" s="3">
        <v>1</v>
      </c>
      <c r="AR1314" s="2" t="s">
        <v>671</v>
      </c>
    </row>
    <row r="1315" spans="1:44" ht="12.75" customHeight="1">
      <c r="A1315" s="4">
        <f>DATE(56,4,20)</f>
        <v>20565</v>
      </c>
      <c r="B1315" s="2" t="s">
        <v>152</v>
      </c>
      <c r="C1315" s="2" t="s">
        <v>175</v>
      </c>
      <c r="E1315" s="18">
        <v>4</v>
      </c>
      <c r="F1315" s="18">
        <v>1</v>
      </c>
      <c r="G1315" s="18">
        <v>0</v>
      </c>
      <c r="H1315" s="18">
        <v>1</v>
      </c>
      <c r="I1315" s="18">
        <v>0</v>
      </c>
      <c r="J1315" s="18">
        <v>0</v>
      </c>
      <c r="K1315" s="18">
        <v>2</v>
      </c>
      <c r="T1315" s="3">
        <v>8</v>
      </c>
      <c r="U1315" s="3">
        <v>8</v>
      </c>
      <c r="V1315" s="3">
        <v>9</v>
      </c>
      <c r="X1315" s="2" t="s">
        <v>4</v>
      </c>
      <c r="Y1315" s="18">
        <v>4</v>
      </c>
      <c r="Z1315" s="18">
        <v>2</v>
      </c>
      <c r="AA1315" s="18">
        <v>5</v>
      </c>
      <c r="AB1315" s="18">
        <v>0</v>
      </c>
      <c r="AC1315" s="18">
        <v>3</v>
      </c>
      <c r="AD1315" s="18">
        <v>0</v>
      </c>
      <c r="AE1315" s="18" t="s">
        <v>162</v>
      </c>
      <c r="AN1315" s="3">
        <v>14</v>
      </c>
      <c r="AO1315" s="3">
        <v>7</v>
      </c>
      <c r="AP1315" s="3">
        <v>3</v>
      </c>
      <c r="AR1315" s="2" t="s">
        <v>676</v>
      </c>
    </row>
    <row r="1316" spans="1:44" ht="12.75" customHeight="1">
      <c r="A1316" s="4">
        <f>DATE(56,5,1)</f>
        <v>20576</v>
      </c>
      <c r="C1316" s="2" t="s">
        <v>175</v>
      </c>
      <c r="E1316" s="18">
        <v>1</v>
      </c>
      <c r="F1316" s="18">
        <v>4</v>
      </c>
      <c r="G1316" s="18">
        <v>2</v>
      </c>
      <c r="H1316" s="18">
        <v>0</v>
      </c>
      <c r="I1316" s="18">
        <v>0</v>
      </c>
      <c r="J1316" s="18">
        <v>0</v>
      </c>
      <c r="K1316" s="18" t="s">
        <v>162</v>
      </c>
      <c r="T1316" s="3">
        <v>7</v>
      </c>
      <c r="U1316" s="3">
        <v>10</v>
      </c>
      <c r="V1316" s="3">
        <v>2</v>
      </c>
      <c r="X1316" s="2" t="s">
        <v>674</v>
      </c>
      <c r="Y1316" s="18">
        <v>0</v>
      </c>
      <c r="Z1316" s="18">
        <v>0</v>
      </c>
      <c r="AA1316" s="18">
        <v>0</v>
      </c>
      <c r="AB1316" s="18">
        <v>0</v>
      </c>
      <c r="AC1316" s="18">
        <v>1</v>
      </c>
      <c r="AD1316" s="18">
        <v>0</v>
      </c>
      <c r="AE1316" s="18">
        <v>2</v>
      </c>
      <c r="AN1316" s="3">
        <v>3</v>
      </c>
      <c r="AO1316" s="3">
        <v>4</v>
      </c>
      <c r="AP1316" s="3">
        <v>2</v>
      </c>
      <c r="AR1316" s="2" t="s">
        <v>679</v>
      </c>
    </row>
    <row r="1317" spans="1:44" ht="12.75" customHeight="1">
      <c r="A1317" s="4">
        <f>DATE(57,5,3)</f>
        <v>20943</v>
      </c>
      <c r="C1317" s="2" t="s">
        <v>175</v>
      </c>
      <c r="E1317" s="18">
        <v>0</v>
      </c>
      <c r="F1317" s="18">
        <v>2</v>
      </c>
      <c r="G1317" s="18">
        <v>0</v>
      </c>
      <c r="H1317" s="18">
        <v>1</v>
      </c>
      <c r="I1317" s="18">
        <v>0</v>
      </c>
      <c r="J1317" s="18">
        <v>0</v>
      </c>
      <c r="T1317" s="3">
        <v>3</v>
      </c>
      <c r="U1317" s="3">
        <v>6</v>
      </c>
      <c r="V1317" s="3">
        <v>2</v>
      </c>
      <c r="X1317" s="2" t="s">
        <v>692</v>
      </c>
      <c r="Y1317" s="18">
        <v>0</v>
      </c>
      <c r="Z1317" s="18">
        <v>0</v>
      </c>
      <c r="AA1317" s="18">
        <v>0</v>
      </c>
      <c r="AB1317" s="18">
        <v>2</v>
      </c>
      <c r="AC1317" s="18">
        <v>1</v>
      </c>
      <c r="AD1317" s="18">
        <v>2</v>
      </c>
      <c r="AN1317" s="3">
        <v>5</v>
      </c>
      <c r="AO1317" s="3">
        <v>4</v>
      </c>
      <c r="AP1317" s="3">
        <v>3</v>
      </c>
      <c r="AR1317" s="2" t="s">
        <v>693</v>
      </c>
    </row>
    <row r="1318" spans="1:44" ht="12.75" customHeight="1">
      <c r="A1318" s="4">
        <f>DATE(58,5,2)</f>
        <v>21307</v>
      </c>
      <c r="B1318" s="2" t="s">
        <v>152</v>
      </c>
      <c r="C1318" s="2" t="s">
        <v>175</v>
      </c>
      <c r="E1318" s="18">
        <v>0</v>
      </c>
      <c r="F1318" s="18">
        <v>0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T1318" s="3">
        <v>0</v>
      </c>
      <c r="U1318" s="3">
        <v>3</v>
      </c>
      <c r="V1318" s="3">
        <v>2</v>
      </c>
      <c r="X1318" s="2" t="s">
        <v>706</v>
      </c>
      <c r="Y1318" s="18">
        <v>0</v>
      </c>
      <c r="Z1318" s="18">
        <v>1</v>
      </c>
      <c r="AA1318" s="18">
        <v>0</v>
      </c>
      <c r="AB1318" s="18">
        <v>0</v>
      </c>
      <c r="AC1318" s="18">
        <v>0</v>
      </c>
      <c r="AD1318" s="18">
        <v>0</v>
      </c>
      <c r="AE1318" s="18" t="s">
        <v>162</v>
      </c>
      <c r="AN1318" s="3">
        <v>1</v>
      </c>
      <c r="AO1318" s="3">
        <v>3</v>
      </c>
      <c r="AP1318" s="3">
        <v>1</v>
      </c>
      <c r="AR1318" s="2" t="s">
        <v>707</v>
      </c>
    </row>
    <row r="1319" spans="1:44" ht="12.75" customHeight="1">
      <c r="A1319" s="4">
        <f>DATE(72,4,28)</f>
        <v>26417</v>
      </c>
      <c r="B1319" s="2" t="s">
        <v>152</v>
      </c>
      <c r="C1319" s="2" t="s">
        <v>175</v>
      </c>
      <c r="E1319" s="18">
        <v>1</v>
      </c>
      <c r="F1319" s="18">
        <v>4</v>
      </c>
      <c r="G1319" s="18">
        <v>0</v>
      </c>
      <c r="H1319" s="18">
        <v>0</v>
      </c>
      <c r="I1319" s="18">
        <v>2</v>
      </c>
      <c r="J1319" s="18">
        <v>3</v>
      </c>
      <c r="K1319" s="18">
        <v>1</v>
      </c>
      <c r="T1319" s="3">
        <v>11</v>
      </c>
      <c r="U1319" s="3">
        <v>14</v>
      </c>
      <c r="V1319" s="3">
        <v>0</v>
      </c>
      <c r="X1319" s="2" t="s">
        <v>941</v>
      </c>
      <c r="Y1319" s="18">
        <v>0</v>
      </c>
      <c r="Z1319" s="18">
        <v>2</v>
      </c>
      <c r="AA1319" s="18">
        <v>0</v>
      </c>
      <c r="AB1319" s="18">
        <v>0</v>
      </c>
      <c r="AC1319" s="18">
        <v>0</v>
      </c>
      <c r="AD1319" s="18">
        <v>0</v>
      </c>
      <c r="AE1319" s="18">
        <v>0</v>
      </c>
      <c r="AN1319" s="3">
        <v>2</v>
      </c>
      <c r="AO1319" s="3">
        <v>5</v>
      </c>
      <c r="AP1319" s="3">
        <v>3</v>
      </c>
      <c r="AR1319" s="2" t="s">
        <v>976</v>
      </c>
    </row>
    <row r="1320" spans="1:44" ht="12.75" customHeight="1">
      <c r="A1320" s="4">
        <f>DATE(72,5,23)</f>
        <v>26442</v>
      </c>
      <c r="C1320" s="2" t="s">
        <v>175</v>
      </c>
      <c r="E1320" s="18">
        <v>1</v>
      </c>
      <c r="F1320" s="18">
        <v>0</v>
      </c>
      <c r="G1320" s="18">
        <v>0</v>
      </c>
      <c r="H1320" s="18">
        <v>4</v>
      </c>
      <c r="I1320" s="18">
        <v>0</v>
      </c>
      <c r="J1320" s="18">
        <v>1</v>
      </c>
      <c r="K1320" s="18" t="s">
        <v>162</v>
      </c>
      <c r="T1320" s="3">
        <v>6</v>
      </c>
      <c r="U1320" s="3">
        <v>9</v>
      </c>
      <c r="V1320" s="3">
        <v>3</v>
      </c>
      <c r="X1320" s="2" t="s">
        <v>985</v>
      </c>
      <c r="Y1320" s="18">
        <v>1</v>
      </c>
      <c r="Z1320" s="18">
        <v>0</v>
      </c>
      <c r="AA1320" s="18">
        <v>0</v>
      </c>
      <c r="AB1320" s="18">
        <v>1</v>
      </c>
      <c r="AC1320" s="18">
        <v>0</v>
      </c>
      <c r="AD1320" s="18">
        <v>0</v>
      </c>
      <c r="AE1320" s="18">
        <v>2</v>
      </c>
      <c r="AN1320" s="3">
        <v>4</v>
      </c>
      <c r="AO1320" s="3">
        <v>6</v>
      </c>
      <c r="AP1320" s="3">
        <v>1</v>
      </c>
      <c r="AR1320" s="2" t="s">
        <v>986</v>
      </c>
    </row>
    <row r="1321" spans="1:44" ht="12.75" customHeight="1">
      <c r="A1321" s="4">
        <f>DATE(73,5,1)</f>
        <v>26785</v>
      </c>
      <c r="B1321" s="2" t="s">
        <v>152</v>
      </c>
      <c r="C1321" s="2" t="s">
        <v>175</v>
      </c>
      <c r="E1321" s="18">
        <v>0</v>
      </c>
      <c r="F1321" s="18">
        <v>0</v>
      </c>
      <c r="G1321" s="18">
        <v>1</v>
      </c>
      <c r="H1321" s="18">
        <v>0</v>
      </c>
      <c r="I1321" s="18">
        <v>0</v>
      </c>
      <c r="J1321" s="18">
        <v>0</v>
      </c>
      <c r="K1321" s="18">
        <v>2</v>
      </c>
      <c r="L1321" s="18">
        <v>0</v>
      </c>
      <c r="M1321" s="18">
        <v>0</v>
      </c>
      <c r="N1321" s="18">
        <v>3</v>
      </c>
      <c r="T1321" s="3">
        <v>6</v>
      </c>
      <c r="U1321" s="3">
        <v>8</v>
      </c>
      <c r="V1321" s="3">
        <v>4</v>
      </c>
      <c r="X1321" s="2" t="s">
        <v>999</v>
      </c>
      <c r="Y1321" s="18">
        <v>0</v>
      </c>
      <c r="Z1321" s="18">
        <v>1</v>
      </c>
      <c r="AA1321" s="18">
        <v>0</v>
      </c>
      <c r="AB1321" s="18">
        <v>0</v>
      </c>
      <c r="AC1321" s="18">
        <v>1</v>
      </c>
      <c r="AD1321" s="18">
        <v>0</v>
      </c>
      <c r="AE1321" s="18">
        <v>1</v>
      </c>
      <c r="AF1321" s="18">
        <v>0</v>
      </c>
      <c r="AG1321" s="18">
        <v>0</v>
      </c>
      <c r="AH1321" s="18">
        <v>0</v>
      </c>
      <c r="AN1321" s="3">
        <v>3</v>
      </c>
      <c r="AO1321" s="3">
        <v>7</v>
      </c>
      <c r="AP1321" s="3">
        <v>4</v>
      </c>
      <c r="AR1321" s="2" t="s">
        <v>253</v>
      </c>
    </row>
    <row r="1322" spans="1:44" ht="12.75" customHeight="1">
      <c r="A1322" s="4">
        <f>DATE(73,5,30)</f>
        <v>26814</v>
      </c>
      <c r="C1322" s="2" t="s">
        <v>175</v>
      </c>
      <c r="E1322" s="18">
        <v>0</v>
      </c>
      <c r="F1322" s="18">
        <v>1</v>
      </c>
      <c r="G1322" s="18">
        <v>2</v>
      </c>
      <c r="H1322" s="18">
        <v>0</v>
      </c>
      <c r="I1322" s="18">
        <v>0</v>
      </c>
      <c r="J1322" s="18">
        <v>0</v>
      </c>
      <c r="K1322" s="18" t="s">
        <v>162</v>
      </c>
      <c r="T1322" s="3">
        <v>3</v>
      </c>
      <c r="U1322" s="3">
        <v>6</v>
      </c>
      <c r="V1322" s="3">
        <v>2</v>
      </c>
      <c r="X1322" s="2" t="s">
        <v>1005</v>
      </c>
      <c r="Y1322" s="18">
        <v>0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  <c r="AE1322" s="18">
        <v>0</v>
      </c>
      <c r="AN1322" s="3">
        <v>0</v>
      </c>
      <c r="AO1322" s="3">
        <v>4</v>
      </c>
      <c r="AP1322" s="3">
        <v>1</v>
      </c>
      <c r="AR1322" s="2" t="s">
        <v>1017</v>
      </c>
    </row>
    <row r="1323" spans="1:44" ht="12.75" customHeight="1">
      <c r="A1323" s="4">
        <f>DATE(74,4,19)</f>
        <v>27138</v>
      </c>
      <c r="C1323" s="2" t="s">
        <v>175</v>
      </c>
      <c r="E1323" s="18">
        <v>1</v>
      </c>
      <c r="F1323" s="18">
        <v>0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T1323" s="3">
        <v>1</v>
      </c>
      <c r="U1323" s="3">
        <v>5</v>
      </c>
      <c r="V1323" s="3">
        <v>1</v>
      </c>
      <c r="X1323" s="2" t="s">
        <v>1021</v>
      </c>
      <c r="Y1323" s="18">
        <v>1</v>
      </c>
      <c r="Z1323" s="18">
        <v>0</v>
      </c>
      <c r="AA1323" s="18">
        <v>1</v>
      </c>
      <c r="AB1323" s="18">
        <v>0</v>
      </c>
      <c r="AC1323" s="18">
        <v>0</v>
      </c>
      <c r="AD1323" s="18">
        <v>0</v>
      </c>
      <c r="AE1323" s="18">
        <v>0</v>
      </c>
      <c r="AN1323" s="3">
        <v>2</v>
      </c>
      <c r="AO1323" s="3">
        <v>7</v>
      </c>
      <c r="AP1323" s="3">
        <v>4</v>
      </c>
      <c r="AR1323" s="2" t="s">
        <v>1024</v>
      </c>
    </row>
    <row r="1324" spans="1:44" ht="12.75" customHeight="1">
      <c r="A1324" s="4">
        <f>DATE(74,5,2)</f>
        <v>27151</v>
      </c>
      <c r="B1324" s="2" t="s">
        <v>152</v>
      </c>
      <c r="C1324" s="2" t="s">
        <v>175</v>
      </c>
      <c r="E1324" s="18">
        <v>0</v>
      </c>
      <c r="F1324" s="18">
        <v>0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T1324" s="3">
        <v>0</v>
      </c>
      <c r="U1324" s="3">
        <v>5</v>
      </c>
      <c r="V1324" s="3">
        <v>4</v>
      </c>
      <c r="X1324" s="2" t="s">
        <v>1029</v>
      </c>
      <c r="Y1324" s="18">
        <v>3</v>
      </c>
      <c r="Z1324" s="18">
        <v>0</v>
      </c>
      <c r="AA1324" s="18">
        <v>0</v>
      </c>
      <c r="AB1324" s="18">
        <v>5</v>
      </c>
      <c r="AC1324" s="18">
        <v>0</v>
      </c>
      <c r="AD1324" s="18">
        <v>1</v>
      </c>
      <c r="AE1324" s="18" t="s">
        <v>162</v>
      </c>
      <c r="AN1324" s="3">
        <v>9</v>
      </c>
      <c r="AO1324" s="3">
        <v>12</v>
      </c>
      <c r="AP1324" s="3">
        <v>3</v>
      </c>
      <c r="AR1324" s="2" t="s">
        <v>1024</v>
      </c>
    </row>
    <row r="1325" spans="1:44" ht="12.75" customHeight="1">
      <c r="A1325" s="4">
        <f>DATE(75,4,10)</f>
        <v>27494</v>
      </c>
      <c r="C1325" s="2" t="s">
        <v>175</v>
      </c>
      <c r="E1325" s="18">
        <v>0</v>
      </c>
      <c r="F1325" s="18">
        <v>1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T1325" s="3">
        <v>1</v>
      </c>
      <c r="U1325" s="3">
        <v>6</v>
      </c>
      <c r="V1325" s="3">
        <v>3</v>
      </c>
      <c r="X1325" s="2" t="s">
        <v>1041</v>
      </c>
      <c r="Y1325" s="18">
        <v>0</v>
      </c>
      <c r="Z1325" s="18">
        <v>0</v>
      </c>
      <c r="AA1325" s="18">
        <v>0</v>
      </c>
      <c r="AB1325" s="18">
        <v>3</v>
      </c>
      <c r="AC1325" s="18">
        <v>0</v>
      </c>
      <c r="AD1325" s="18">
        <v>0</v>
      </c>
      <c r="AE1325" s="18">
        <v>0</v>
      </c>
      <c r="AN1325" s="3">
        <v>3</v>
      </c>
      <c r="AO1325" s="3">
        <v>3</v>
      </c>
      <c r="AP1325" s="3">
        <v>2</v>
      </c>
      <c r="AR1325" s="2" t="s">
        <v>1042</v>
      </c>
    </row>
    <row r="1326" spans="1:44" ht="12.75" customHeight="1">
      <c r="A1326" s="4">
        <f>DATE(75,5,7)</f>
        <v>27521</v>
      </c>
      <c r="B1326" s="2" t="s">
        <v>152</v>
      </c>
      <c r="C1326" s="2" t="s">
        <v>175</v>
      </c>
      <c r="E1326" s="18">
        <v>2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v>0</v>
      </c>
      <c r="O1326" s="18">
        <v>0</v>
      </c>
      <c r="P1326" s="18">
        <v>0</v>
      </c>
      <c r="T1326" s="3">
        <v>2</v>
      </c>
      <c r="U1326" s="3">
        <v>5</v>
      </c>
      <c r="V1326" s="3">
        <v>5</v>
      </c>
      <c r="X1326" s="2" t="s">
        <v>1054</v>
      </c>
      <c r="Y1326" s="18">
        <v>0</v>
      </c>
      <c r="Z1326" s="18">
        <v>0</v>
      </c>
      <c r="AA1326" s="18">
        <v>2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1</v>
      </c>
      <c r="AN1326" s="3">
        <v>3</v>
      </c>
      <c r="AO1326" s="3">
        <v>8</v>
      </c>
      <c r="AP1326" s="3">
        <v>4</v>
      </c>
      <c r="AR1326" s="2" t="s">
        <v>1055</v>
      </c>
    </row>
    <row r="1327" spans="1:44" ht="12.75" customHeight="1">
      <c r="A1327" s="4">
        <f>DATE(76,4,13)</f>
        <v>27863</v>
      </c>
      <c r="C1327" s="2" t="s">
        <v>175</v>
      </c>
      <c r="E1327" s="18">
        <v>0</v>
      </c>
      <c r="F1327" s="18">
        <v>1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T1327" s="3">
        <v>1</v>
      </c>
      <c r="U1327" s="3">
        <v>6</v>
      </c>
      <c r="V1327" s="3">
        <v>1</v>
      </c>
      <c r="X1327" s="2" t="s">
        <v>1064</v>
      </c>
      <c r="Y1327" s="18"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N1327" s="3">
        <v>0</v>
      </c>
      <c r="AO1327" s="3">
        <v>2</v>
      </c>
      <c r="AP1327" s="3">
        <v>2</v>
      </c>
      <c r="AR1327" s="2" t="s">
        <v>1072</v>
      </c>
    </row>
    <row r="1328" spans="1:44" ht="12.75" customHeight="1">
      <c r="A1328" s="4">
        <f>DATE(76,5,6)</f>
        <v>27886</v>
      </c>
      <c r="B1328" s="2" t="s">
        <v>152</v>
      </c>
      <c r="C1328" s="2" t="s">
        <v>175</v>
      </c>
      <c r="E1328" s="18">
        <v>0</v>
      </c>
      <c r="F1328" s="18">
        <v>0</v>
      </c>
      <c r="G1328" s="18">
        <v>0</v>
      </c>
      <c r="H1328" s="18">
        <v>0</v>
      </c>
      <c r="I1328" s="18">
        <v>1</v>
      </c>
      <c r="J1328" s="18">
        <v>0</v>
      </c>
      <c r="K1328" s="18">
        <v>0</v>
      </c>
      <c r="L1328" s="18">
        <v>3</v>
      </c>
      <c r="T1328" s="3">
        <v>4</v>
      </c>
      <c r="U1328" s="3">
        <v>7</v>
      </c>
      <c r="V1328" s="3">
        <v>6</v>
      </c>
      <c r="X1328" s="2" t="s">
        <v>1088</v>
      </c>
      <c r="Y1328" s="18">
        <v>0</v>
      </c>
      <c r="Z1328" s="18">
        <v>0</v>
      </c>
      <c r="AA1328" s="18">
        <v>0</v>
      </c>
      <c r="AB1328" s="18">
        <v>0</v>
      </c>
      <c r="AC1328" s="18">
        <v>1</v>
      </c>
      <c r="AD1328" s="18">
        <v>0</v>
      </c>
      <c r="AE1328" s="18">
        <v>0</v>
      </c>
      <c r="AF1328" s="18">
        <v>1</v>
      </c>
      <c r="AN1328" s="3">
        <v>2</v>
      </c>
      <c r="AO1328" s="3">
        <v>4</v>
      </c>
      <c r="AP1328" s="3">
        <v>2</v>
      </c>
      <c r="AR1328" s="2" t="s">
        <v>1089</v>
      </c>
    </row>
    <row r="1329" spans="1:44" ht="12.75" customHeight="1">
      <c r="A1329" s="4">
        <f>DATE(77,4,14)</f>
        <v>28229</v>
      </c>
      <c r="C1329" s="2" t="s">
        <v>175</v>
      </c>
      <c r="E1329" s="18">
        <v>0</v>
      </c>
      <c r="F1329" s="18">
        <v>0</v>
      </c>
      <c r="G1329" s="18">
        <v>0</v>
      </c>
      <c r="H1329" s="18">
        <v>1</v>
      </c>
      <c r="I1329" s="18">
        <v>0</v>
      </c>
      <c r="J1329" s="18">
        <v>0</v>
      </c>
      <c r="K1329" s="18">
        <v>0</v>
      </c>
      <c r="T1329" s="3">
        <v>1</v>
      </c>
      <c r="U1329" s="3">
        <v>5</v>
      </c>
      <c r="V1329" s="3">
        <v>4</v>
      </c>
      <c r="X1329" s="2" t="s">
        <v>1086</v>
      </c>
      <c r="Y1329" s="18">
        <v>0</v>
      </c>
      <c r="Z1329" s="18">
        <v>1</v>
      </c>
      <c r="AA1329" s="18">
        <v>1</v>
      </c>
      <c r="AB1329" s="18">
        <v>1</v>
      </c>
      <c r="AC1329" s="18">
        <v>0</v>
      </c>
      <c r="AD1329" s="18">
        <v>1</v>
      </c>
      <c r="AE1329" s="18">
        <v>0</v>
      </c>
      <c r="AN1329" s="3">
        <v>4</v>
      </c>
      <c r="AO1329" s="3">
        <v>3</v>
      </c>
      <c r="AP1329" s="3">
        <v>0</v>
      </c>
      <c r="AR1329" s="2" t="s">
        <v>1103</v>
      </c>
    </row>
    <row r="1330" spans="1:44" ht="12.75" customHeight="1">
      <c r="A1330" s="4">
        <f>DATE(77,5,10)</f>
        <v>28255</v>
      </c>
      <c r="B1330" s="2" t="s">
        <v>152</v>
      </c>
      <c r="C1330" s="2" t="s">
        <v>175</v>
      </c>
      <c r="E1330" s="18">
        <v>0</v>
      </c>
      <c r="F1330" s="18">
        <v>0</v>
      </c>
      <c r="G1330" s="18">
        <v>1</v>
      </c>
      <c r="H1330" s="18">
        <v>0</v>
      </c>
      <c r="I1330" s="18">
        <v>0</v>
      </c>
      <c r="J1330" s="18">
        <v>0</v>
      </c>
      <c r="K1330" s="18">
        <v>0</v>
      </c>
      <c r="T1330" s="3">
        <v>1</v>
      </c>
      <c r="U1330" s="3">
        <v>6</v>
      </c>
      <c r="V1330" s="3">
        <v>0</v>
      </c>
      <c r="X1330" s="2" t="s">
        <v>1082</v>
      </c>
      <c r="Y1330" s="18">
        <v>0</v>
      </c>
      <c r="Z1330" s="18">
        <v>0</v>
      </c>
      <c r="AA1330" s="18">
        <v>0</v>
      </c>
      <c r="AB1330" s="18">
        <v>1</v>
      </c>
      <c r="AC1330" s="18">
        <v>0</v>
      </c>
      <c r="AD1330" s="18">
        <v>1</v>
      </c>
      <c r="AE1330" s="18" t="s">
        <v>162</v>
      </c>
      <c r="AN1330" s="3">
        <v>2</v>
      </c>
      <c r="AO1330" s="3">
        <v>4</v>
      </c>
      <c r="AP1330" s="3">
        <v>0</v>
      </c>
      <c r="AR1330" s="2" t="s">
        <v>1132</v>
      </c>
    </row>
    <row r="1331" spans="1:44" ht="12.75" customHeight="1">
      <c r="A1331" s="4">
        <f>DATE(78,4,18)</f>
        <v>28598</v>
      </c>
      <c r="C1331" s="2" t="s">
        <v>175</v>
      </c>
      <c r="E1331" s="18">
        <v>0</v>
      </c>
      <c r="F1331" s="18">
        <v>1</v>
      </c>
      <c r="G1331" s="18">
        <v>2</v>
      </c>
      <c r="H1331" s="18">
        <v>2</v>
      </c>
      <c r="I1331" s="18">
        <v>0</v>
      </c>
      <c r="J1331" s="18">
        <v>1</v>
      </c>
      <c r="T1331" s="3">
        <v>6</v>
      </c>
      <c r="U1331" s="3">
        <v>8</v>
      </c>
      <c r="V1331" s="3">
        <v>6</v>
      </c>
      <c r="X1331" s="2" t="s">
        <v>1164</v>
      </c>
      <c r="Y1331" s="18">
        <v>0</v>
      </c>
      <c r="Z1331" s="18">
        <v>2</v>
      </c>
      <c r="AA1331" s="18">
        <v>0</v>
      </c>
      <c r="AB1331" s="18">
        <v>0</v>
      </c>
      <c r="AC1331" s="18">
        <v>5</v>
      </c>
      <c r="AD1331" s="18">
        <v>0</v>
      </c>
      <c r="AE1331" s="18">
        <v>0</v>
      </c>
      <c r="AN1331" s="3">
        <v>7</v>
      </c>
      <c r="AO1331" s="3">
        <v>6</v>
      </c>
      <c r="AP1331" s="3">
        <v>4</v>
      </c>
      <c r="AR1331" s="2" t="s">
        <v>1103</v>
      </c>
    </row>
    <row r="1332" spans="1:44" ht="12.75" customHeight="1">
      <c r="A1332" s="4">
        <f>DATE(78,5,11)</f>
        <v>28621</v>
      </c>
      <c r="B1332" s="2" t="s">
        <v>152</v>
      </c>
      <c r="C1332" s="2" t="s">
        <v>175</v>
      </c>
      <c r="E1332" s="18">
        <v>0</v>
      </c>
      <c r="F1332" s="18">
        <v>0</v>
      </c>
      <c r="G1332" s="18">
        <v>0</v>
      </c>
      <c r="H1332" s="18">
        <v>0</v>
      </c>
      <c r="I1332" s="18">
        <v>0</v>
      </c>
      <c r="J1332" s="18">
        <v>1</v>
      </c>
      <c r="K1332" s="18">
        <v>0</v>
      </c>
      <c r="T1332" s="3">
        <v>1</v>
      </c>
      <c r="U1332" s="3">
        <v>4</v>
      </c>
      <c r="V1332" s="3">
        <v>0</v>
      </c>
      <c r="X1332" s="2" t="s">
        <v>1070</v>
      </c>
      <c r="Y1332" s="18">
        <v>0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N1332" s="3">
        <v>0</v>
      </c>
      <c r="AO1332" s="3">
        <v>3</v>
      </c>
      <c r="AP1332" s="3">
        <v>1</v>
      </c>
      <c r="AR1332" s="2" t="s">
        <v>1103</v>
      </c>
    </row>
    <row r="1333" spans="1:44" ht="12.75" customHeight="1">
      <c r="A1333" s="4">
        <f>DATE(79,4,19)</f>
        <v>28964</v>
      </c>
      <c r="C1333" s="2" t="s">
        <v>175</v>
      </c>
      <c r="E1333" s="18">
        <v>0</v>
      </c>
      <c r="F1333" s="18">
        <v>0</v>
      </c>
      <c r="G1333" s="18">
        <v>5</v>
      </c>
      <c r="H1333" s="18">
        <v>0</v>
      </c>
      <c r="I1333" s="18">
        <v>1</v>
      </c>
      <c r="J1333" s="18">
        <v>0</v>
      </c>
      <c r="T1333" s="3">
        <v>6</v>
      </c>
      <c r="U1333" s="3">
        <v>9</v>
      </c>
      <c r="V1333" s="3">
        <v>4</v>
      </c>
      <c r="X1333" s="2" t="s">
        <v>1202</v>
      </c>
      <c r="Y1333" s="18">
        <v>0</v>
      </c>
      <c r="Z1333" s="18">
        <v>0</v>
      </c>
      <c r="AA1333" s="18">
        <v>2</v>
      </c>
      <c r="AB1333" s="18">
        <v>0</v>
      </c>
      <c r="AC1333" s="18">
        <v>1</v>
      </c>
      <c r="AD1333" s="18">
        <v>15</v>
      </c>
      <c r="AN1333" s="3">
        <v>18</v>
      </c>
      <c r="AO1333" s="3">
        <v>7</v>
      </c>
      <c r="AP1333" s="3">
        <v>1</v>
      </c>
      <c r="AR1333" s="2" t="s">
        <v>1203</v>
      </c>
    </row>
    <row r="1334" spans="1:44" ht="12.75" customHeight="1">
      <c r="A1334" s="4">
        <f>DATE(79,5,16)</f>
        <v>28991</v>
      </c>
      <c r="B1334" s="2" t="s">
        <v>152</v>
      </c>
      <c r="C1334" s="2" t="s">
        <v>175</v>
      </c>
      <c r="E1334" s="18">
        <v>1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T1334" s="3">
        <v>1</v>
      </c>
      <c r="U1334" s="3">
        <v>5</v>
      </c>
      <c r="V1334" s="3">
        <v>1</v>
      </c>
      <c r="X1334" s="2" t="s">
        <v>1221</v>
      </c>
      <c r="Y1334" s="18">
        <v>0</v>
      </c>
      <c r="Z1334" s="18">
        <v>1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1</v>
      </c>
      <c r="AN1334" s="3">
        <v>2</v>
      </c>
      <c r="AO1334" s="3">
        <v>4</v>
      </c>
      <c r="AP1334" s="3">
        <v>1</v>
      </c>
      <c r="AR1334" s="2" t="s">
        <v>1222</v>
      </c>
    </row>
    <row r="1335" spans="1:44" ht="12.75" customHeight="1">
      <c r="A1335" s="4">
        <f>DATE(80,5,2)</f>
        <v>29343</v>
      </c>
      <c r="C1335" s="2" t="s">
        <v>175</v>
      </c>
      <c r="E1335" s="18">
        <v>0</v>
      </c>
      <c r="F1335" s="18">
        <v>5</v>
      </c>
      <c r="G1335" s="18">
        <v>0</v>
      </c>
      <c r="H1335" s="18">
        <v>0</v>
      </c>
      <c r="I1335" s="18">
        <v>0</v>
      </c>
      <c r="J1335" s="18">
        <v>0</v>
      </c>
      <c r="K1335" s="18">
        <v>1</v>
      </c>
      <c r="T1335" s="3">
        <v>6</v>
      </c>
      <c r="U1335" s="3">
        <v>7</v>
      </c>
      <c r="V1335" s="3">
        <v>3</v>
      </c>
      <c r="X1335" s="2" t="s">
        <v>1294</v>
      </c>
      <c r="Y1335" s="18">
        <v>0</v>
      </c>
      <c r="Z1335" s="18">
        <v>3</v>
      </c>
      <c r="AA1335" s="18">
        <v>1</v>
      </c>
      <c r="AB1335" s="18">
        <v>0</v>
      </c>
      <c r="AC1335" s="18">
        <v>0</v>
      </c>
      <c r="AD1335" s="18">
        <v>1</v>
      </c>
      <c r="AE1335" s="18">
        <v>3</v>
      </c>
      <c r="AN1335" s="3">
        <v>8</v>
      </c>
      <c r="AO1335" s="3">
        <v>7</v>
      </c>
      <c r="AP1335" s="3">
        <v>2</v>
      </c>
      <c r="AR1335" s="2" t="s">
        <v>1295</v>
      </c>
    </row>
    <row r="1336" spans="1:44" ht="12.75" customHeight="1">
      <c r="A1336" s="4">
        <f>DATE(80,5,22)</f>
        <v>29363</v>
      </c>
      <c r="B1336" s="2" t="s">
        <v>152</v>
      </c>
      <c r="C1336" s="2" t="s">
        <v>175</v>
      </c>
      <c r="E1336" s="18">
        <v>2</v>
      </c>
      <c r="F1336" s="18">
        <v>2</v>
      </c>
      <c r="G1336" s="18">
        <v>2</v>
      </c>
      <c r="H1336" s="18">
        <v>0</v>
      </c>
      <c r="I1336" s="18">
        <v>0</v>
      </c>
      <c r="J1336" s="18">
        <v>0</v>
      </c>
      <c r="K1336" s="18">
        <v>0</v>
      </c>
      <c r="T1336" s="3">
        <v>6</v>
      </c>
      <c r="U1336" s="3">
        <v>8</v>
      </c>
      <c r="V1336" s="3">
        <v>1</v>
      </c>
      <c r="X1336" s="2" t="s">
        <v>1307</v>
      </c>
      <c r="Y1336" s="18">
        <v>2</v>
      </c>
      <c r="Z1336" s="18">
        <v>1</v>
      </c>
      <c r="AA1336" s="18">
        <v>0</v>
      </c>
      <c r="AB1336" s="18">
        <v>0</v>
      </c>
      <c r="AC1336" s="18">
        <v>7</v>
      </c>
      <c r="AD1336" s="18">
        <v>1</v>
      </c>
      <c r="AE1336" s="18" t="s">
        <v>162</v>
      </c>
      <c r="AN1336" s="3">
        <v>11</v>
      </c>
      <c r="AO1336" s="3">
        <v>9</v>
      </c>
      <c r="AP1336" s="3">
        <v>0</v>
      </c>
      <c r="AR1336" s="2" t="s">
        <v>1308</v>
      </c>
    </row>
    <row r="1337" spans="1:44" ht="12.75" customHeight="1">
      <c r="A1337" s="4">
        <f>DATE(81,4,7)</f>
        <v>29683</v>
      </c>
      <c r="B1337" s="2" t="s">
        <v>152</v>
      </c>
      <c r="C1337" s="2" t="s">
        <v>175</v>
      </c>
      <c r="E1337" s="18">
        <v>0</v>
      </c>
      <c r="F1337" s="18">
        <v>0</v>
      </c>
      <c r="G1337" s="18">
        <v>0</v>
      </c>
      <c r="H1337" s="18">
        <v>0</v>
      </c>
      <c r="I1337" s="18">
        <v>2</v>
      </c>
      <c r="J1337" s="18">
        <v>0</v>
      </c>
      <c r="K1337" s="18">
        <v>3</v>
      </c>
      <c r="T1337" s="3">
        <v>5</v>
      </c>
      <c r="U1337" s="3">
        <v>10</v>
      </c>
      <c r="V1337" s="3">
        <v>2</v>
      </c>
      <c r="X1337" s="2" t="s">
        <v>1256</v>
      </c>
      <c r="Y1337" s="18">
        <v>0</v>
      </c>
      <c r="Z1337" s="18">
        <v>0</v>
      </c>
      <c r="AA1337" s="18">
        <v>2</v>
      </c>
      <c r="AB1337" s="18">
        <v>0</v>
      </c>
      <c r="AC1337" s="18">
        <v>1</v>
      </c>
      <c r="AD1337" s="18">
        <v>0</v>
      </c>
      <c r="AE1337" s="18">
        <v>0</v>
      </c>
      <c r="AN1337" s="3">
        <v>3</v>
      </c>
      <c r="AO1337" s="3">
        <v>8</v>
      </c>
      <c r="AP1337" s="3">
        <v>3</v>
      </c>
      <c r="AR1337" s="2" t="s">
        <v>1325</v>
      </c>
    </row>
    <row r="1338" spans="1:44" ht="12.75" customHeight="1">
      <c r="A1338" s="4">
        <f>DATE(81,4,30)</f>
        <v>29706</v>
      </c>
      <c r="C1338" s="2" t="s">
        <v>175</v>
      </c>
      <c r="E1338" s="18">
        <v>0</v>
      </c>
      <c r="F1338" s="18">
        <v>0</v>
      </c>
      <c r="G1338" s="18">
        <v>0</v>
      </c>
      <c r="H1338" s="18">
        <v>1</v>
      </c>
      <c r="I1338" s="18">
        <v>0</v>
      </c>
      <c r="J1338" s="18">
        <v>0</v>
      </c>
      <c r="K1338" s="18">
        <v>0</v>
      </c>
      <c r="T1338" s="3">
        <v>1</v>
      </c>
      <c r="U1338" s="3">
        <v>4</v>
      </c>
      <c r="V1338" s="3">
        <v>1</v>
      </c>
      <c r="X1338" s="2" t="s">
        <v>1256</v>
      </c>
      <c r="Y1338" s="18">
        <v>0</v>
      </c>
      <c r="Z1338" s="18">
        <v>0</v>
      </c>
      <c r="AA1338" s="18">
        <v>0</v>
      </c>
      <c r="AB1338" s="18">
        <v>0</v>
      </c>
      <c r="AC1338" s="18">
        <v>1</v>
      </c>
      <c r="AD1338" s="18">
        <v>0</v>
      </c>
      <c r="AE1338" s="18">
        <v>2</v>
      </c>
      <c r="AN1338" s="3">
        <v>3</v>
      </c>
      <c r="AO1338" s="3">
        <v>5</v>
      </c>
      <c r="AP1338" s="3">
        <v>0</v>
      </c>
      <c r="AR1338" s="2" t="s">
        <v>1343</v>
      </c>
    </row>
    <row r="1339" spans="1:44" ht="12.75" customHeight="1">
      <c r="A1339" s="4">
        <f>DATE(82,4,17)</f>
        <v>30058</v>
      </c>
      <c r="B1339" s="2" t="s">
        <v>152</v>
      </c>
      <c r="C1339" s="2" t="s">
        <v>175</v>
      </c>
      <c r="E1339" s="18">
        <v>1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2</v>
      </c>
      <c r="T1339" s="3">
        <v>3</v>
      </c>
      <c r="U1339" s="3">
        <v>5</v>
      </c>
      <c r="V1339" s="3">
        <v>1</v>
      </c>
      <c r="X1339" s="2" t="s">
        <v>1313</v>
      </c>
      <c r="Y1339" s="18">
        <v>2</v>
      </c>
      <c r="Z1339" s="18">
        <v>1</v>
      </c>
      <c r="AA1339" s="18">
        <v>0</v>
      </c>
      <c r="AB1339" s="18">
        <v>0</v>
      </c>
      <c r="AC1339" s="18">
        <v>0</v>
      </c>
      <c r="AD1339" s="18">
        <v>3</v>
      </c>
      <c r="AE1339" s="18" t="s">
        <v>162</v>
      </c>
      <c r="AN1339" s="3">
        <v>6</v>
      </c>
      <c r="AO1339" s="3">
        <v>6</v>
      </c>
      <c r="AP1339" s="3">
        <v>3</v>
      </c>
      <c r="AR1339" s="2" t="s">
        <v>1372</v>
      </c>
    </row>
    <row r="1340" spans="1:44" ht="12.75" customHeight="1">
      <c r="A1340" s="4">
        <f>DATE(82,5,4)</f>
        <v>30075</v>
      </c>
      <c r="C1340" s="2" t="s">
        <v>175</v>
      </c>
      <c r="E1340" s="18">
        <v>1</v>
      </c>
      <c r="F1340" s="18">
        <v>0</v>
      </c>
      <c r="G1340" s="18">
        <v>0</v>
      </c>
      <c r="H1340" s="18">
        <v>0</v>
      </c>
      <c r="I1340" s="18">
        <v>1</v>
      </c>
      <c r="J1340" s="18">
        <v>4</v>
      </c>
      <c r="K1340" s="18">
        <v>3</v>
      </c>
      <c r="T1340" s="3">
        <v>9</v>
      </c>
      <c r="U1340" s="3">
        <v>11</v>
      </c>
      <c r="V1340" s="3">
        <v>4</v>
      </c>
      <c r="X1340" s="2" t="s">
        <v>1346</v>
      </c>
      <c r="Y1340" s="18">
        <v>3</v>
      </c>
      <c r="Z1340" s="18">
        <v>0</v>
      </c>
      <c r="AA1340" s="18">
        <v>1</v>
      </c>
      <c r="AB1340" s="18">
        <v>0</v>
      </c>
      <c r="AC1340" s="18">
        <v>2</v>
      </c>
      <c r="AD1340" s="18">
        <v>0</v>
      </c>
      <c r="AE1340" s="18">
        <v>7</v>
      </c>
      <c r="AN1340" s="3">
        <v>13</v>
      </c>
      <c r="AO1340" s="3">
        <v>10</v>
      </c>
      <c r="AP1340" s="3">
        <v>2</v>
      </c>
      <c r="AR1340" s="2" t="s">
        <v>1372</v>
      </c>
    </row>
    <row r="1341" spans="1:44" ht="12.75" customHeight="1">
      <c r="A1341" s="4">
        <f>DATE(83,4,12)</f>
        <v>30418</v>
      </c>
      <c r="B1341" s="2" t="s">
        <v>152</v>
      </c>
      <c r="C1341" s="2" t="s">
        <v>175</v>
      </c>
      <c r="E1341" s="18">
        <v>0</v>
      </c>
      <c r="F1341" s="18">
        <v>0</v>
      </c>
      <c r="G1341" s="18">
        <v>0</v>
      </c>
      <c r="H1341" s="18">
        <v>0</v>
      </c>
      <c r="I1341" s="18">
        <v>0</v>
      </c>
      <c r="J1341" s="18">
        <v>1</v>
      </c>
      <c r="K1341" s="18">
        <v>0</v>
      </c>
      <c r="T1341" s="3">
        <v>1</v>
      </c>
      <c r="U1341" s="3">
        <v>3</v>
      </c>
      <c r="V1341" s="3">
        <v>0</v>
      </c>
      <c r="X1341" s="2" t="s">
        <v>1313</v>
      </c>
      <c r="Y1341" s="18">
        <v>0</v>
      </c>
      <c r="Z1341" s="18">
        <v>2</v>
      </c>
      <c r="AA1341" s="18">
        <v>0</v>
      </c>
      <c r="AB1341" s="18">
        <v>0</v>
      </c>
      <c r="AC1341" s="18">
        <v>0</v>
      </c>
      <c r="AD1341" s="18">
        <v>0</v>
      </c>
      <c r="AE1341" s="18" t="s">
        <v>162</v>
      </c>
      <c r="AN1341" s="3">
        <v>2</v>
      </c>
      <c r="AO1341" s="3">
        <v>3</v>
      </c>
      <c r="AP1341" s="3">
        <v>1</v>
      </c>
      <c r="AR1341" s="2" t="s">
        <v>1402</v>
      </c>
    </row>
    <row r="1342" spans="1:44" ht="12.75" customHeight="1">
      <c r="A1342" s="4">
        <f>DATE(83,5,5)</f>
        <v>30441</v>
      </c>
      <c r="C1342" s="2" t="s">
        <v>175</v>
      </c>
      <c r="E1342" s="18">
        <v>1</v>
      </c>
      <c r="F1342" s="18">
        <v>3</v>
      </c>
      <c r="G1342" s="18">
        <v>0</v>
      </c>
      <c r="H1342" s="18">
        <v>0</v>
      </c>
      <c r="I1342" s="18">
        <v>0</v>
      </c>
      <c r="J1342" s="18">
        <v>0</v>
      </c>
      <c r="K1342" s="18" t="s">
        <v>162</v>
      </c>
      <c r="T1342" s="3">
        <v>4</v>
      </c>
      <c r="U1342" s="3">
        <v>5</v>
      </c>
      <c r="V1342" s="3">
        <v>3</v>
      </c>
      <c r="X1342" s="2" t="s">
        <v>1339</v>
      </c>
      <c r="Y1342" s="18">
        <v>0</v>
      </c>
      <c r="Z1342" s="18">
        <v>0</v>
      </c>
      <c r="AA1342" s="18">
        <v>0</v>
      </c>
      <c r="AB1342" s="18">
        <v>1</v>
      </c>
      <c r="AC1342" s="18">
        <v>0</v>
      </c>
      <c r="AD1342" s="18">
        <v>1</v>
      </c>
      <c r="AE1342" s="18">
        <v>0</v>
      </c>
      <c r="AN1342" s="3">
        <v>2</v>
      </c>
      <c r="AO1342" s="3">
        <v>2</v>
      </c>
      <c r="AP1342" s="3">
        <v>2</v>
      </c>
      <c r="AR1342" s="2" t="s">
        <v>1372</v>
      </c>
    </row>
    <row r="1343" spans="1:44" ht="12.75" customHeight="1">
      <c r="A1343" s="4">
        <f>DATE(83,6,1)</f>
        <v>30468</v>
      </c>
      <c r="B1343" s="2" t="s">
        <v>239</v>
      </c>
      <c r="C1343" s="2" t="s">
        <v>175</v>
      </c>
      <c r="D1343" s="2" t="s">
        <v>257</v>
      </c>
      <c r="E1343" s="18">
        <v>1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T1343" s="3">
        <v>1</v>
      </c>
      <c r="U1343" s="3">
        <v>2</v>
      </c>
      <c r="V1343" s="3">
        <v>1</v>
      </c>
      <c r="X1343" s="2" t="s">
        <v>1339</v>
      </c>
      <c r="Y1343" s="18">
        <v>0</v>
      </c>
      <c r="Z1343" s="18">
        <v>0</v>
      </c>
      <c r="AA1343" s="18">
        <v>0</v>
      </c>
      <c r="AB1343" s="18">
        <v>0</v>
      </c>
      <c r="AC1343" s="18">
        <v>0</v>
      </c>
      <c r="AD1343" s="18">
        <v>0</v>
      </c>
      <c r="AE1343" s="18">
        <v>0</v>
      </c>
      <c r="AN1343" s="3">
        <v>0</v>
      </c>
      <c r="AO1343" s="3">
        <v>4</v>
      </c>
      <c r="AP1343" s="3">
        <v>2</v>
      </c>
      <c r="AR1343" s="2" t="s">
        <v>1441</v>
      </c>
    </row>
    <row r="1344" spans="1:44" ht="12.75" customHeight="1">
      <c r="A1344" s="4">
        <f>DATE(84,4,12)</f>
        <v>30784</v>
      </c>
      <c r="B1344" s="2" t="s">
        <v>152</v>
      </c>
      <c r="C1344" s="2" t="s">
        <v>175</v>
      </c>
      <c r="E1344" s="18">
        <v>1</v>
      </c>
      <c r="F1344" s="18">
        <v>0</v>
      </c>
      <c r="G1344" s="18">
        <v>8</v>
      </c>
      <c r="H1344" s="18">
        <v>1</v>
      </c>
      <c r="I1344" s="18">
        <v>0</v>
      </c>
      <c r="J1344" s="18">
        <v>3</v>
      </c>
      <c r="T1344" s="3">
        <v>13</v>
      </c>
      <c r="U1344" s="3">
        <v>10</v>
      </c>
      <c r="V1344" s="3">
        <v>2</v>
      </c>
      <c r="X1344" s="2" t="s">
        <v>1455</v>
      </c>
      <c r="Y1344" s="18">
        <v>0</v>
      </c>
      <c r="Z1344" s="18">
        <v>1</v>
      </c>
      <c r="AA1344" s="18">
        <v>0</v>
      </c>
      <c r="AB1344" s="18">
        <v>1</v>
      </c>
      <c r="AC1344" s="18">
        <v>0</v>
      </c>
      <c r="AD1344" s="18">
        <v>0</v>
      </c>
      <c r="AN1344" s="3">
        <v>2</v>
      </c>
      <c r="AO1344" s="3">
        <v>5</v>
      </c>
      <c r="AP1344" s="3">
        <v>3</v>
      </c>
      <c r="AR1344" s="2" t="s">
        <v>1456</v>
      </c>
    </row>
    <row r="1345" spans="1:44" ht="12.75" customHeight="1">
      <c r="A1345" s="4">
        <f>DATE(84,5,14)</f>
        <v>30816</v>
      </c>
      <c r="C1345" s="2" t="s">
        <v>175</v>
      </c>
      <c r="E1345" s="18">
        <v>3</v>
      </c>
      <c r="F1345" s="18">
        <v>0</v>
      </c>
      <c r="G1345" s="18">
        <v>0</v>
      </c>
      <c r="H1345" s="18">
        <v>3</v>
      </c>
      <c r="I1345" s="18">
        <v>1</v>
      </c>
      <c r="J1345" s="18">
        <v>1</v>
      </c>
      <c r="K1345" s="18" t="s">
        <v>162</v>
      </c>
      <c r="T1345" s="3">
        <v>8</v>
      </c>
      <c r="U1345" s="3">
        <v>10</v>
      </c>
      <c r="V1345" s="3">
        <v>1</v>
      </c>
      <c r="X1345" s="2" t="s">
        <v>1399</v>
      </c>
      <c r="Y1345" s="18">
        <v>1</v>
      </c>
      <c r="Z1345" s="18">
        <v>0</v>
      </c>
      <c r="AA1345" s="18">
        <v>2</v>
      </c>
      <c r="AB1345" s="18">
        <v>0</v>
      </c>
      <c r="AC1345" s="18">
        <v>0</v>
      </c>
      <c r="AD1345" s="18">
        <v>0</v>
      </c>
      <c r="AE1345" s="18">
        <v>0</v>
      </c>
      <c r="AN1345" s="3">
        <v>3</v>
      </c>
      <c r="AO1345" s="3">
        <v>5</v>
      </c>
      <c r="AP1345" s="3">
        <v>7</v>
      </c>
      <c r="AR1345" s="2" t="s">
        <v>1470</v>
      </c>
    </row>
    <row r="1346" spans="1:44" ht="12.75" customHeight="1">
      <c r="A1346" s="4">
        <f>DATE(85,4,18)</f>
        <v>31155</v>
      </c>
      <c r="B1346" s="2" t="s">
        <v>152</v>
      </c>
      <c r="C1346" s="2" t="s">
        <v>175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1</v>
      </c>
      <c r="K1346" s="18">
        <v>0</v>
      </c>
      <c r="T1346" s="3">
        <v>1</v>
      </c>
      <c r="U1346" s="3">
        <v>4</v>
      </c>
      <c r="V1346" s="3">
        <v>3</v>
      </c>
      <c r="X1346" s="2" t="s">
        <v>1488</v>
      </c>
      <c r="Y1346" s="18">
        <v>1</v>
      </c>
      <c r="Z1346" s="18">
        <v>4</v>
      </c>
      <c r="AA1346" s="18">
        <v>2</v>
      </c>
      <c r="AB1346" s="18">
        <v>2</v>
      </c>
      <c r="AC1346" s="18">
        <v>0</v>
      </c>
      <c r="AD1346" s="18">
        <v>0</v>
      </c>
      <c r="AE1346" s="18" t="s">
        <v>162</v>
      </c>
      <c r="AN1346" s="3">
        <v>9</v>
      </c>
      <c r="AO1346" s="3">
        <v>9</v>
      </c>
      <c r="AP1346" s="3">
        <v>1</v>
      </c>
      <c r="AR1346" s="2" t="s">
        <v>1489</v>
      </c>
    </row>
    <row r="1347" spans="1:44" ht="12.75" customHeight="1">
      <c r="A1347" s="4">
        <f>DATE(85,5,9)</f>
        <v>31176</v>
      </c>
      <c r="C1347" s="2" t="s">
        <v>175</v>
      </c>
      <c r="E1347" s="18">
        <v>1</v>
      </c>
      <c r="F1347" s="18">
        <v>0</v>
      </c>
      <c r="G1347" s="18">
        <v>6</v>
      </c>
      <c r="H1347" s="18">
        <v>9</v>
      </c>
      <c r="I1347" s="18">
        <v>1</v>
      </c>
      <c r="J1347" s="18">
        <v>0</v>
      </c>
      <c r="K1347" s="18">
        <v>1</v>
      </c>
      <c r="T1347" s="3">
        <v>18</v>
      </c>
      <c r="U1347" s="3">
        <v>15</v>
      </c>
      <c r="V1347" s="3">
        <v>1</v>
      </c>
      <c r="X1347" s="2" t="s">
        <v>1509</v>
      </c>
      <c r="Y1347" s="18">
        <v>0</v>
      </c>
      <c r="Z1347" s="18">
        <v>0</v>
      </c>
      <c r="AA1347" s="18">
        <v>0</v>
      </c>
      <c r="AB1347" s="18">
        <v>8</v>
      </c>
      <c r="AC1347" s="18">
        <v>7</v>
      </c>
      <c r="AD1347" s="18">
        <v>2</v>
      </c>
      <c r="AE1347" s="18">
        <v>0</v>
      </c>
      <c r="AN1347" s="3">
        <v>17</v>
      </c>
      <c r="AO1347" s="3">
        <v>14</v>
      </c>
      <c r="AP1347" s="3">
        <v>3</v>
      </c>
      <c r="AR1347" s="2" t="s">
        <v>1510</v>
      </c>
    </row>
    <row r="1348" spans="1:44" ht="12.75" customHeight="1">
      <c r="A1348" s="4">
        <f>DATE(86,4,23)</f>
        <v>31525</v>
      </c>
      <c r="B1348" s="2" t="s">
        <v>152</v>
      </c>
      <c r="C1348" s="2" t="s">
        <v>175</v>
      </c>
      <c r="E1348" s="18">
        <v>1</v>
      </c>
      <c r="F1348" s="18">
        <v>0</v>
      </c>
      <c r="G1348" s="18">
        <v>7</v>
      </c>
      <c r="H1348" s="18">
        <v>1</v>
      </c>
      <c r="I1348" s="18">
        <v>1</v>
      </c>
      <c r="J1348" s="18">
        <v>0</v>
      </c>
      <c r="K1348" s="18">
        <v>0</v>
      </c>
      <c r="T1348" s="3">
        <v>10</v>
      </c>
      <c r="U1348" s="3">
        <v>12</v>
      </c>
      <c r="V1348" s="3">
        <v>5</v>
      </c>
      <c r="X1348" s="2" t="s">
        <v>1498</v>
      </c>
      <c r="Y1348" s="18">
        <v>1</v>
      </c>
      <c r="Z1348" s="18">
        <v>0</v>
      </c>
      <c r="AA1348" s="18">
        <v>0</v>
      </c>
      <c r="AB1348" s="18">
        <v>2</v>
      </c>
      <c r="AC1348" s="18">
        <v>0</v>
      </c>
      <c r="AD1348" s="18">
        <v>0</v>
      </c>
      <c r="AE1348" s="18">
        <v>0</v>
      </c>
      <c r="AN1348" s="3">
        <v>3</v>
      </c>
      <c r="AO1348" s="3">
        <v>3</v>
      </c>
      <c r="AP1348" s="3">
        <v>5</v>
      </c>
      <c r="AR1348" s="2" t="s">
        <v>1533</v>
      </c>
    </row>
    <row r="1349" spans="1:44" ht="12.75" customHeight="1">
      <c r="A1349" s="4">
        <f>DATE(86,5,13)</f>
        <v>31545</v>
      </c>
      <c r="C1349" s="2" t="s">
        <v>175</v>
      </c>
      <c r="E1349" s="18">
        <v>0</v>
      </c>
      <c r="F1349" s="18">
        <v>0</v>
      </c>
      <c r="G1349" s="18">
        <v>1</v>
      </c>
      <c r="H1349" s="18">
        <v>2</v>
      </c>
      <c r="I1349" s="18">
        <v>0</v>
      </c>
      <c r="J1349" s="18">
        <v>0</v>
      </c>
      <c r="K1349" s="18" t="s">
        <v>162</v>
      </c>
      <c r="T1349" s="3">
        <v>3</v>
      </c>
      <c r="U1349" s="3">
        <v>6</v>
      </c>
      <c r="V1349" s="3">
        <v>2</v>
      </c>
      <c r="X1349" s="2" t="s">
        <v>1498</v>
      </c>
      <c r="Y1349" s="18">
        <v>0</v>
      </c>
      <c r="Z1349" s="18">
        <v>0</v>
      </c>
      <c r="AA1349" s="18">
        <v>0</v>
      </c>
      <c r="AB1349" s="18">
        <v>1</v>
      </c>
      <c r="AC1349" s="18">
        <v>0</v>
      </c>
      <c r="AD1349" s="18">
        <v>0</v>
      </c>
      <c r="AE1349" s="18">
        <v>0</v>
      </c>
      <c r="AN1349" s="3">
        <v>1</v>
      </c>
      <c r="AO1349" s="3">
        <v>3</v>
      </c>
      <c r="AP1349" s="3">
        <v>1</v>
      </c>
      <c r="AR1349" s="2" t="s">
        <v>1545</v>
      </c>
    </row>
    <row r="1350" spans="1:44" ht="12.75" customHeight="1">
      <c r="A1350" s="4">
        <f>DATE(87,4,21)</f>
        <v>31888</v>
      </c>
      <c r="B1350" s="2" t="s">
        <v>237</v>
      </c>
      <c r="C1350" s="2" t="s">
        <v>175</v>
      </c>
      <c r="E1350" s="18">
        <v>1</v>
      </c>
      <c r="F1350" s="18">
        <v>0</v>
      </c>
      <c r="G1350" s="18">
        <v>0</v>
      </c>
      <c r="H1350" s="18">
        <v>1</v>
      </c>
      <c r="I1350" s="18">
        <v>0</v>
      </c>
      <c r="J1350" s="18">
        <v>0</v>
      </c>
      <c r="K1350" s="18">
        <v>0</v>
      </c>
      <c r="L1350" s="18">
        <v>0</v>
      </c>
      <c r="T1350" s="3">
        <v>2</v>
      </c>
      <c r="U1350" s="3">
        <v>11</v>
      </c>
      <c r="V1350" s="3">
        <v>5</v>
      </c>
      <c r="X1350" s="2" t="s">
        <v>1573</v>
      </c>
      <c r="Y1350" s="18">
        <v>1</v>
      </c>
      <c r="Z1350" s="18">
        <v>0</v>
      </c>
      <c r="AA1350" s="18">
        <v>0</v>
      </c>
      <c r="AB1350" s="18">
        <v>1</v>
      </c>
      <c r="AC1350" s="18">
        <v>0</v>
      </c>
      <c r="AD1350" s="18">
        <v>0</v>
      </c>
      <c r="AE1350" s="18">
        <v>0</v>
      </c>
      <c r="AF1350" s="18">
        <v>1</v>
      </c>
      <c r="AN1350" s="3">
        <v>3</v>
      </c>
      <c r="AO1350" s="3">
        <v>5</v>
      </c>
      <c r="AP1350" s="3">
        <v>0</v>
      </c>
      <c r="AR1350" s="2" t="s">
        <v>1574</v>
      </c>
    </row>
    <row r="1351" spans="1:44" ht="12.75" customHeight="1">
      <c r="A1351" s="4">
        <f>DATE(87,5,14)</f>
        <v>31911</v>
      </c>
      <c r="C1351" s="2" t="s">
        <v>175</v>
      </c>
      <c r="E1351" s="18">
        <v>0</v>
      </c>
      <c r="F1351" s="18">
        <v>0</v>
      </c>
      <c r="G1351" s="18">
        <v>1</v>
      </c>
      <c r="H1351" s="18">
        <v>0</v>
      </c>
      <c r="I1351" s="18">
        <v>0</v>
      </c>
      <c r="J1351" s="18">
        <v>0</v>
      </c>
      <c r="K1351" s="18">
        <v>1</v>
      </c>
      <c r="T1351" s="3">
        <v>2</v>
      </c>
      <c r="U1351" s="3">
        <v>6</v>
      </c>
      <c r="V1351" s="3">
        <v>6</v>
      </c>
      <c r="X1351" s="2" t="s">
        <v>1585</v>
      </c>
      <c r="Y1351" s="18">
        <v>0</v>
      </c>
      <c r="Z1351" s="18">
        <v>0</v>
      </c>
      <c r="AA1351" s="18">
        <v>3</v>
      </c>
      <c r="AB1351" s="18">
        <v>2</v>
      </c>
      <c r="AC1351" s="18">
        <v>0</v>
      </c>
      <c r="AD1351" s="18">
        <v>1</v>
      </c>
      <c r="AE1351" s="18">
        <v>3</v>
      </c>
      <c r="AN1351" s="3">
        <v>9</v>
      </c>
      <c r="AO1351" s="3">
        <v>9</v>
      </c>
      <c r="AP1351" s="3">
        <v>1</v>
      </c>
      <c r="AR1351" s="2" t="s">
        <v>1586</v>
      </c>
    </row>
    <row r="1352" spans="1:44" ht="12.75" customHeight="1">
      <c r="A1352" s="4">
        <f>DATE(88,4,5)</f>
        <v>32238</v>
      </c>
      <c r="C1352" s="2" t="s">
        <v>175</v>
      </c>
      <c r="E1352" s="18">
        <v>6</v>
      </c>
      <c r="F1352" s="18">
        <v>2</v>
      </c>
      <c r="G1352" s="18">
        <v>2</v>
      </c>
      <c r="H1352" s="18">
        <v>0</v>
      </c>
      <c r="I1352" s="18">
        <v>0</v>
      </c>
      <c r="J1352" s="18">
        <v>0</v>
      </c>
      <c r="K1352" s="18" t="s">
        <v>162</v>
      </c>
      <c r="T1352" s="3">
        <v>10</v>
      </c>
      <c r="U1352" s="3">
        <v>12</v>
      </c>
      <c r="V1352" s="3">
        <v>2</v>
      </c>
      <c r="X1352" s="2" t="s">
        <v>1599</v>
      </c>
      <c r="Y1352" s="18">
        <v>0</v>
      </c>
      <c r="Z1352" s="18">
        <v>1</v>
      </c>
      <c r="AA1352" s="18">
        <v>0</v>
      </c>
      <c r="AB1352" s="18">
        <v>8</v>
      </c>
      <c r="AC1352" s="18">
        <v>0</v>
      </c>
      <c r="AD1352" s="18">
        <v>0</v>
      </c>
      <c r="AE1352" s="18">
        <v>0</v>
      </c>
      <c r="AN1352" s="3">
        <v>9</v>
      </c>
      <c r="AO1352" s="3">
        <v>8</v>
      </c>
      <c r="AP1352" s="3">
        <v>1</v>
      </c>
      <c r="AR1352" s="2" t="s">
        <v>1600</v>
      </c>
    </row>
    <row r="1353" spans="1:44" ht="12.75" customHeight="1">
      <c r="A1353" s="4">
        <f>DATE(88,4,28)</f>
        <v>32261</v>
      </c>
      <c r="B1353" s="2" t="s">
        <v>152</v>
      </c>
      <c r="C1353" s="2" t="s">
        <v>175</v>
      </c>
      <c r="E1353" s="18">
        <v>0</v>
      </c>
      <c r="F1353" s="18">
        <v>0</v>
      </c>
      <c r="G1353" s="18">
        <v>1</v>
      </c>
      <c r="H1353" s="18">
        <v>0</v>
      </c>
      <c r="I1353" s="18">
        <v>2</v>
      </c>
      <c r="J1353" s="18">
        <v>0</v>
      </c>
      <c r="K1353" s="18">
        <v>2</v>
      </c>
      <c r="T1353" s="3">
        <v>5</v>
      </c>
      <c r="U1353" s="3">
        <v>8</v>
      </c>
      <c r="V1353" s="3">
        <v>4</v>
      </c>
      <c r="X1353" s="2" t="s">
        <v>1613</v>
      </c>
      <c r="Y1353" s="18">
        <v>4</v>
      </c>
      <c r="Z1353" s="18">
        <v>0</v>
      </c>
      <c r="AA1353" s="18">
        <v>2</v>
      </c>
      <c r="AB1353" s="18">
        <v>0</v>
      </c>
      <c r="AC1353" s="18">
        <v>0</v>
      </c>
      <c r="AD1353" s="18">
        <v>2</v>
      </c>
      <c r="AE1353" s="18" t="s">
        <v>162</v>
      </c>
      <c r="AN1353" s="3">
        <v>8</v>
      </c>
      <c r="AO1353" s="3">
        <v>7</v>
      </c>
      <c r="AP1353" s="3">
        <v>2</v>
      </c>
      <c r="AR1353" s="2" t="s">
        <v>1614</v>
      </c>
    </row>
    <row r="1354" spans="1:44" ht="12.75" customHeight="1">
      <c r="A1354" s="4">
        <f>DATE(89,4,6)</f>
        <v>32604</v>
      </c>
      <c r="B1354" s="2" t="s">
        <v>152</v>
      </c>
      <c r="C1354" s="2" t="s">
        <v>175</v>
      </c>
      <c r="E1354" s="18">
        <v>0</v>
      </c>
      <c r="F1354" s="18">
        <v>0</v>
      </c>
      <c r="G1354" s="18">
        <v>0</v>
      </c>
      <c r="H1354" s="18">
        <v>1</v>
      </c>
      <c r="I1354" s="18">
        <v>0</v>
      </c>
      <c r="J1354" s="18">
        <v>0</v>
      </c>
      <c r="K1354" s="18">
        <v>0</v>
      </c>
      <c r="T1354" s="3">
        <v>1</v>
      </c>
      <c r="U1354" s="3">
        <v>3</v>
      </c>
      <c r="V1354" s="3">
        <v>5</v>
      </c>
      <c r="X1354" s="2" t="s">
        <v>1634</v>
      </c>
      <c r="Y1354" s="18">
        <v>1</v>
      </c>
      <c r="Z1354" s="18">
        <v>0</v>
      </c>
      <c r="AA1354" s="18">
        <v>1</v>
      </c>
      <c r="AB1354" s="18">
        <v>2</v>
      </c>
      <c r="AC1354" s="18">
        <v>0</v>
      </c>
      <c r="AD1354" s="18">
        <v>0</v>
      </c>
      <c r="AE1354" s="18" t="s">
        <v>162</v>
      </c>
      <c r="AN1354" s="3">
        <v>4</v>
      </c>
      <c r="AO1354" s="3">
        <v>6</v>
      </c>
      <c r="AP1354" s="3">
        <v>2</v>
      </c>
      <c r="AR1354" s="2" t="s">
        <v>1635</v>
      </c>
    </row>
    <row r="1355" spans="1:44" ht="12.75" customHeight="1">
      <c r="A1355" s="4">
        <f>DATE(89,5,20)</f>
        <v>32648</v>
      </c>
      <c r="C1355" s="2" t="s">
        <v>175</v>
      </c>
      <c r="E1355" s="18">
        <v>0</v>
      </c>
      <c r="F1355" s="18">
        <v>0</v>
      </c>
      <c r="G1355" s="18">
        <v>0</v>
      </c>
      <c r="H1355" s="18">
        <v>0</v>
      </c>
      <c r="I1355" s="18">
        <v>2</v>
      </c>
      <c r="J1355" s="18">
        <v>0</v>
      </c>
      <c r="K1355" s="18">
        <v>1</v>
      </c>
      <c r="T1355" s="3">
        <v>3</v>
      </c>
      <c r="U1355" s="3">
        <v>7</v>
      </c>
      <c r="V1355" s="3">
        <v>2</v>
      </c>
      <c r="X1355" s="2" t="s">
        <v>1658</v>
      </c>
      <c r="Y1355" s="18">
        <v>6</v>
      </c>
      <c r="Z1355" s="18">
        <v>0</v>
      </c>
      <c r="AA1355" s="18">
        <v>0</v>
      </c>
      <c r="AB1355" s="18">
        <v>0</v>
      </c>
      <c r="AC1355" s="18">
        <v>0</v>
      </c>
      <c r="AD1355" s="18">
        <v>0</v>
      </c>
      <c r="AE1355" s="18">
        <v>3</v>
      </c>
      <c r="AN1355" s="3">
        <v>9</v>
      </c>
      <c r="AO1355" s="3">
        <v>8</v>
      </c>
      <c r="AP1355" s="3">
        <v>0</v>
      </c>
      <c r="AR1355" s="2" t="s">
        <v>1659</v>
      </c>
    </row>
    <row r="1356" spans="1:44" ht="12.75" customHeight="1">
      <c r="A1356" s="4">
        <f>DATE(90,4,16)</f>
        <v>32979</v>
      </c>
      <c r="B1356" s="2" t="s">
        <v>152</v>
      </c>
      <c r="C1356" s="2" t="s">
        <v>175</v>
      </c>
      <c r="E1356" s="18">
        <v>0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T1356" s="3">
        <v>0</v>
      </c>
      <c r="U1356" s="3">
        <v>2</v>
      </c>
      <c r="V1356" s="3">
        <v>3</v>
      </c>
      <c r="X1356" s="2" t="s">
        <v>1687</v>
      </c>
      <c r="Y1356" s="18">
        <v>0</v>
      </c>
      <c r="Z1356" s="18">
        <v>1</v>
      </c>
      <c r="AA1356" s="18">
        <v>0</v>
      </c>
      <c r="AB1356" s="18">
        <v>0</v>
      </c>
      <c r="AC1356" s="18">
        <v>0</v>
      </c>
      <c r="AD1356" s="18">
        <v>0</v>
      </c>
      <c r="AE1356" s="18" t="s">
        <v>162</v>
      </c>
      <c r="AN1356" s="3">
        <v>1</v>
      </c>
      <c r="AO1356" s="3">
        <v>3</v>
      </c>
      <c r="AP1356" s="3">
        <v>2</v>
      </c>
      <c r="AR1356" s="2" t="s">
        <v>1688</v>
      </c>
    </row>
    <row r="1357" spans="1:44" ht="12.75" customHeight="1">
      <c r="A1357" s="4">
        <f>DATE(90,5,1)</f>
        <v>32994</v>
      </c>
      <c r="C1357" s="2" t="s">
        <v>175</v>
      </c>
      <c r="E1357" s="18">
        <v>0</v>
      </c>
      <c r="F1357" s="18">
        <v>0</v>
      </c>
      <c r="G1357" s="18">
        <v>0</v>
      </c>
      <c r="H1357" s="18">
        <v>0</v>
      </c>
      <c r="I1357" s="18">
        <v>1</v>
      </c>
      <c r="J1357" s="18">
        <v>0</v>
      </c>
      <c r="K1357" s="18" t="s">
        <v>162</v>
      </c>
      <c r="T1357" s="3">
        <v>1</v>
      </c>
      <c r="U1357" s="3">
        <v>7</v>
      </c>
      <c r="V1357" s="3">
        <v>1</v>
      </c>
      <c r="X1357" s="2" t="s">
        <v>1636</v>
      </c>
      <c r="Y1357" s="18">
        <v>0</v>
      </c>
      <c r="Z1357" s="18">
        <v>0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N1357" s="3">
        <v>0</v>
      </c>
      <c r="AO1357" s="3">
        <v>0</v>
      </c>
      <c r="AP1357" s="3">
        <v>0</v>
      </c>
      <c r="AR1357" s="2" t="s">
        <v>1699</v>
      </c>
    </row>
    <row r="1358" spans="1:44" ht="12.75" customHeight="1">
      <c r="A1358" s="4">
        <f>DATE(91,4,23)</f>
        <v>33351</v>
      </c>
      <c r="B1358" s="2" t="s">
        <v>152</v>
      </c>
      <c r="C1358" s="2" t="s">
        <v>175</v>
      </c>
      <c r="E1358" s="18">
        <v>0</v>
      </c>
      <c r="F1358" s="18">
        <v>1</v>
      </c>
      <c r="G1358" s="18">
        <v>1</v>
      </c>
      <c r="H1358" s="18">
        <v>2</v>
      </c>
      <c r="I1358" s="18">
        <v>0</v>
      </c>
      <c r="J1358" s="18">
        <v>0</v>
      </c>
      <c r="K1358" s="18">
        <v>0</v>
      </c>
      <c r="T1358" s="3">
        <v>4</v>
      </c>
      <c r="U1358" s="3">
        <v>6</v>
      </c>
      <c r="V1358" s="3">
        <v>2</v>
      </c>
      <c r="X1358" s="2" t="s">
        <v>1700</v>
      </c>
      <c r="Y1358" s="18">
        <v>0</v>
      </c>
      <c r="Z1358" s="18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1</v>
      </c>
      <c r="AN1358" s="3">
        <v>1</v>
      </c>
      <c r="AO1358" s="3">
        <v>4</v>
      </c>
      <c r="AP1358" s="3">
        <v>4</v>
      </c>
      <c r="AR1358" s="2" t="s">
        <v>1729</v>
      </c>
    </row>
    <row r="1359" spans="1:44" ht="12.75" customHeight="1">
      <c r="A1359" s="4">
        <f>DATE(92,4,4)</f>
        <v>33698</v>
      </c>
      <c r="B1359" s="2" t="s">
        <v>152</v>
      </c>
      <c r="C1359" s="2" t="s">
        <v>175</v>
      </c>
      <c r="E1359" s="18">
        <v>2</v>
      </c>
      <c r="F1359" s="18">
        <v>0</v>
      </c>
      <c r="G1359" s="18">
        <v>0</v>
      </c>
      <c r="H1359" s="18">
        <v>0</v>
      </c>
      <c r="I1359" s="18">
        <v>0</v>
      </c>
      <c r="J1359" s="18">
        <v>2</v>
      </c>
      <c r="K1359" s="18">
        <v>0</v>
      </c>
      <c r="T1359" s="3">
        <v>4</v>
      </c>
      <c r="U1359" s="3">
        <v>7</v>
      </c>
      <c r="V1359" s="3">
        <v>2</v>
      </c>
      <c r="X1359" s="2" t="s">
        <v>1771</v>
      </c>
      <c r="Y1359" s="18">
        <v>1</v>
      </c>
      <c r="Z1359" s="18">
        <v>4</v>
      </c>
      <c r="AA1359" s="18">
        <v>0</v>
      </c>
      <c r="AB1359" s="18">
        <v>1</v>
      </c>
      <c r="AC1359" s="18">
        <v>0</v>
      </c>
      <c r="AD1359" s="18">
        <v>0</v>
      </c>
      <c r="AE1359" s="18" t="s">
        <v>162</v>
      </c>
      <c r="AN1359" s="3">
        <f aca="true" t="shared" si="42" ref="AN1359:AN1382">SUM(Y1359:AM1359)</f>
        <v>6</v>
      </c>
      <c r="AO1359" s="3">
        <v>7</v>
      </c>
      <c r="AP1359" s="3">
        <v>2</v>
      </c>
      <c r="AR1359" s="2" t="s">
        <v>1772</v>
      </c>
    </row>
    <row r="1360" spans="1:44" ht="12.75" customHeight="1">
      <c r="A1360" s="4">
        <f>DATE(92,4,27)</f>
        <v>33721</v>
      </c>
      <c r="C1360" s="2" t="s">
        <v>175</v>
      </c>
      <c r="E1360" s="18">
        <v>2</v>
      </c>
      <c r="F1360" s="18">
        <v>0</v>
      </c>
      <c r="G1360" s="18">
        <v>0</v>
      </c>
      <c r="H1360" s="18">
        <v>1</v>
      </c>
      <c r="I1360" s="18">
        <v>0</v>
      </c>
      <c r="J1360" s="18">
        <v>0</v>
      </c>
      <c r="K1360" s="18">
        <v>3</v>
      </c>
      <c r="T1360" s="3">
        <v>6</v>
      </c>
      <c r="U1360" s="3">
        <v>7</v>
      </c>
      <c r="V1360" s="3">
        <v>4</v>
      </c>
      <c r="X1360" s="2" t="s">
        <v>1794</v>
      </c>
      <c r="Y1360" s="18">
        <v>0</v>
      </c>
      <c r="Z1360" s="18">
        <v>1</v>
      </c>
      <c r="AA1360" s="18">
        <v>0</v>
      </c>
      <c r="AB1360" s="18">
        <v>5</v>
      </c>
      <c r="AC1360" s="18">
        <v>0</v>
      </c>
      <c r="AD1360" s="18">
        <v>1</v>
      </c>
      <c r="AE1360" s="18">
        <v>2</v>
      </c>
      <c r="AN1360" s="3">
        <f t="shared" si="42"/>
        <v>9</v>
      </c>
      <c r="AO1360" s="3">
        <v>10</v>
      </c>
      <c r="AP1360" s="3">
        <v>1</v>
      </c>
      <c r="AR1360" s="2" t="s">
        <v>1772</v>
      </c>
    </row>
    <row r="1361" spans="1:44" ht="12.75" customHeight="1">
      <c r="A1361" s="4">
        <f>DATE(93,5,3)</f>
        <v>34092</v>
      </c>
      <c r="C1361" s="2" t="s">
        <v>175</v>
      </c>
      <c r="E1361" s="18">
        <v>1</v>
      </c>
      <c r="F1361" s="18">
        <v>1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T1361" s="3">
        <f aca="true" t="shared" si="43" ref="T1361:T1382">SUM(E1361:S1361)</f>
        <v>2</v>
      </c>
      <c r="U1361" s="3">
        <v>6</v>
      </c>
      <c r="V1361" s="3">
        <v>3</v>
      </c>
      <c r="X1361" s="2" t="s">
        <v>1799</v>
      </c>
      <c r="Y1361" s="18">
        <v>0</v>
      </c>
      <c r="Z1361" s="18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3</v>
      </c>
      <c r="AN1361" s="3">
        <f t="shared" si="42"/>
        <v>3</v>
      </c>
      <c r="AO1361" s="3">
        <v>3</v>
      </c>
      <c r="AP1361" s="3">
        <v>1</v>
      </c>
      <c r="AR1361" s="2" t="s">
        <v>1772</v>
      </c>
    </row>
    <row r="1362" spans="1:44" ht="12.75" customHeight="1">
      <c r="A1362" s="4">
        <f>DATE(94,4,22)</f>
        <v>34446</v>
      </c>
      <c r="B1362" s="2" t="s">
        <v>152</v>
      </c>
      <c r="C1362" s="2" t="s">
        <v>175</v>
      </c>
      <c r="E1362" s="18">
        <v>0</v>
      </c>
      <c r="F1362" s="18">
        <v>0</v>
      </c>
      <c r="G1362" s="18">
        <v>0</v>
      </c>
      <c r="H1362" s="18">
        <v>0</v>
      </c>
      <c r="I1362" s="18">
        <v>0</v>
      </c>
      <c r="J1362" s="18">
        <v>2</v>
      </c>
      <c r="K1362" s="18">
        <v>0</v>
      </c>
      <c r="L1362" s="18">
        <v>1</v>
      </c>
      <c r="T1362" s="3">
        <f t="shared" si="43"/>
        <v>3</v>
      </c>
      <c r="U1362" s="3">
        <v>4</v>
      </c>
      <c r="V1362" s="3">
        <v>3</v>
      </c>
      <c r="X1362" s="2" t="s">
        <v>1853</v>
      </c>
      <c r="Y1362" s="18">
        <v>0</v>
      </c>
      <c r="Z1362" s="18">
        <v>0</v>
      </c>
      <c r="AA1362" s="18">
        <v>0</v>
      </c>
      <c r="AB1362" s="18">
        <v>2</v>
      </c>
      <c r="AC1362" s="18">
        <v>0</v>
      </c>
      <c r="AD1362" s="18">
        <v>0</v>
      </c>
      <c r="AE1362" s="18">
        <v>0</v>
      </c>
      <c r="AF1362" s="18">
        <v>0</v>
      </c>
      <c r="AN1362" s="3">
        <f t="shared" si="42"/>
        <v>2</v>
      </c>
      <c r="AO1362" s="3">
        <v>5</v>
      </c>
      <c r="AP1362" s="3">
        <v>2</v>
      </c>
      <c r="AR1362" s="2" t="s">
        <v>1860</v>
      </c>
    </row>
    <row r="1363" spans="1:44" ht="12.75" customHeight="1">
      <c r="A1363" s="4">
        <f>DATE(94,5,3)</f>
        <v>34457</v>
      </c>
      <c r="C1363" s="2" t="s">
        <v>175</v>
      </c>
      <c r="E1363" s="18">
        <v>0</v>
      </c>
      <c r="F1363" s="18">
        <v>2</v>
      </c>
      <c r="G1363" s="18">
        <v>1</v>
      </c>
      <c r="H1363" s="18">
        <v>0</v>
      </c>
      <c r="I1363" s="18">
        <v>0</v>
      </c>
      <c r="J1363" s="18">
        <v>2</v>
      </c>
      <c r="K1363" s="18" t="s">
        <v>162</v>
      </c>
      <c r="T1363" s="3">
        <f t="shared" si="43"/>
        <v>5</v>
      </c>
      <c r="U1363" s="3">
        <v>9</v>
      </c>
      <c r="V1363" s="3">
        <v>1</v>
      </c>
      <c r="X1363" s="2" t="s">
        <v>1853</v>
      </c>
      <c r="Y1363" s="18">
        <v>0</v>
      </c>
      <c r="Z1363" s="18">
        <v>0</v>
      </c>
      <c r="AA1363" s="18">
        <v>0</v>
      </c>
      <c r="AB1363" s="18">
        <v>0</v>
      </c>
      <c r="AC1363" s="18">
        <v>0</v>
      </c>
      <c r="AD1363" s="18">
        <v>0</v>
      </c>
      <c r="AE1363" s="18">
        <v>1</v>
      </c>
      <c r="AN1363" s="3">
        <f t="shared" si="42"/>
        <v>1</v>
      </c>
      <c r="AO1363" s="3">
        <v>5</v>
      </c>
      <c r="AP1363" s="3">
        <v>5</v>
      </c>
      <c r="AR1363" s="2" t="s">
        <v>1868</v>
      </c>
    </row>
    <row r="1364" spans="1:44" ht="12.75" customHeight="1">
      <c r="A1364" s="4">
        <f>DATE(95,4,7)</f>
        <v>34796</v>
      </c>
      <c r="C1364" s="2" t="s">
        <v>175</v>
      </c>
      <c r="E1364" s="18">
        <v>0</v>
      </c>
      <c r="F1364" s="18">
        <v>2</v>
      </c>
      <c r="G1364" s="18">
        <v>0</v>
      </c>
      <c r="H1364" s="18">
        <v>0</v>
      </c>
      <c r="I1364" s="18">
        <v>0</v>
      </c>
      <c r="J1364" s="18">
        <v>0</v>
      </c>
      <c r="K1364" s="18" t="s">
        <v>162</v>
      </c>
      <c r="T1364" s="3">
        <f t="shared" si="43"/>
        <v>2</v>
      </c>
      <c r="U1364" s="3">
        <v>4</v>
      </c>
      <c r="V1364" s="3">
        <v>1</v>
      </c>
      <c r="X1364" s="2" t="s">
        <v>1824</v>
      </c>
      <c r="Y1364" s="18">
        <v>0</v>
      </c>
      <c r="Z1364" s="18">
        <v>0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N1364" s="3">
        <f t="shared" si="42"/>
        <v>0</v>
      </c>
      <c r="AO1364" s="3">
        <v>2</v>
      </c>
      <c r="AP1364" s="3">
        <v>2</v>
      </c>
      <c r="AR1364" s="2" t="s">
        <v>1882</v>
      </c>
    </row>
    <row r="1365" spans="1:44" ht="12.75" customHeight="1">
      <c r="A1365" s="4">
        <f>DATE(95,5,9)</f>
        <v>34828</v>
      </c>
      <c r="B1365" s="2" t="s">
        <v>152</v>
      </c>
      <c r="C1365" s="2" t="s">
        <v>175</v>
      </c>
      <c r="E1365" s="18">
        <v>2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T1365" s="3">
        <f t="shared" si="43"/>
        <v>2</v>
      </c>
      <c r="U1365" s="3">
        <v>8</v>
      </c>
      <c r="V1365" s="3">
        <v>0</v>
      </c>
      <c r="X1365" s="2" t="s">
        <v>1899</v>
      </c>
      <c r="Y1365" s="18">
        <v>0</v>
      </c>
      <c r="Z1365" s="18">
        <v>0</v>
      </c>
      <c r="AA1365" s="18">
        <v>0</v>
      </c>
      <c r="AB1365" s="18">
        <v>0</v>
      </c>
      <c r="AC1365" s="18">
        <v>2</v>
      </c>
      <c r="AD1365" s="18">
        <v>0</v>
      </c>
      <c r="AE1365" s="18">
        <v>0</v>
      </c>
      <c r="AF1365" s="18">
        <v>1</v>
      </c>
      <c r="AN1365" s="3">
        <f t="shared" si="42"/>
        <v>3</v>
      </c>
      <c r="AO1365" s="3">
        <v>7</v>
      </c>
      <c r="AP1365" s="3">
        <v>2</v>
      </c>
      <c r="AR1365" s="2" t="s">
        <v>1900</v>
      </c>
    </row>
    <row r="1366" spans="1:44" ht="12.75" customHeight="1">
      <c r="A1366" s="4">
        <v>35177</v>
      </c>
      <c r="B1366" s="2" t="s">
        <v>152</v>
      </c>
      <c r="C1366" s="2" t="s">
        <v>175</v>
      </c>
      <c r="E1366" s="18">
        <v>0</v>
      </c>
      <c r="F1366" s="18">
        <v>0</v>
      </c>
      <c r="G1366" s="18">
        <v>0</v>
      </c>
      <c r="H1366" s="18">
        <v>0</v>
      </c>
      <c r="I1366" s="18">
        <v>4</v>
      </c>
      <c r="J1366" s="18">
        <v>0</v>
      </c>
      <c r="K1366" s="18">
        <v>1</v>
      </c>
      <c r="T1366" s="3">
        <f t="shared" si="43"/>
        <v>5</v>
      </c>
      <c r="U1366" s="3">
        <v>6</v>
      </c>
      <c r="V1366" s="3">
        <v>3</v>
      </c>
      <c r="X1366" s="2" t="s">
        <v>1266</v>
      </c>
      <c r="Y1366" s="18">
        <v>0</v>
      </c>
      <c r="Z1366" s="18">
        <v>0</v>
      </c>
      <c r="AA1366" s="18">
        <v>2</v>
      </c>
      <c r="AB1366" s="18">
        <v>3</v>
      </c>
      <c r="AC1366" s="18">
        <v>2</v>
      </c>
      <c r="AD1366" s="18">
        <v>4</v>
      </c>
      <c r="AE1366" s="18" t="s">
        <v>162</v>
      </c>
      <c r="AN1366" s="3">
        <f t="shared" si="42"/>
        <v>11</v>
      </c>
      <c r="AO1366" s="3">
        <v>13</v>
      </c>
      <c r="AP1366" s="3">
        <v>3</v>
      </c>
      <c r="AR1366" s="2" t="s">
        <v>1279</v>
      </c>
    </row>
    <row r="1367" spans="1:44" ht="12.75" customHeight="1">
      <c r="A1367" s="9">
        <f>DATE(1997,4,3)</f>
        <v>35523</v>
      </c>
      <c r="B1367" s="2" t="s">
        <v>152</v>
      </c>
      <c r="C1367" s="2" t="s">
        <v>175</v>
      </c>
      <c r="E1367" s="18">
        <v>0</v>
      </c>
      <c r="F1367" s="18">
        <v>0</v>
      </c>
      <c r="G1367" s="18">
        <v>0</v>
      </c>
      <c r="H1367" s="18">
        <v>1</v>
      </c>
      <c r="I1367" s="18">
        <v>1</v>
      </c>
      <c r="J1367" s="18">
        <v>2</v>
      </c>
      <c r="K1367" s="18">
        <v>0</v>
      </c>
      <c r="T1367" s="3">
        <f t="shared" si="43"/>
        <v>4</v>
      </c>
      <c r="U1367" s="3">
        <v>8</v>
      </c>
      <c r="V1367" s="3">
        <v>7</v>
      </c>
      <c r="X1367" s="2" t="s">
        <v>431</v>
      </c>
      <c r="Y1367" s="18">
        <v>1</v>
      </c>
      <c r="Z1367" s="18">
        <v>0</v>
      </c>
      <c r="AA1367" s="18">
        <v>5</v>
      </c>
      <c r="AB1367" s="18">
        <v>0</v>
      </c>
      <c r="AC1367" s="18">
        <v>0</v>
      </c>
      <c r="AD1367" s="18">
        <v>3</v>
      </c>
      <c r="AE1367" s="18" t="s">
        <v>162</v>
      </c>
      <c r="AN1367" s="3">
        <f t="shared" si="42"/>
        <v>9</v>
      </c>
      <c r="AO1367" s="3">
        <v>9</v>
      </c>
      <c r="AP1367" s="3">
        <v>1</v>
      </c>
      <c r="AR1367" s="2" t="s">
        <v>433</v>
      </c>
    </row>
    <row r="1368" spans="1:44" ht="12.75" customHeight="1">
      <c r="A1368" s="9">
        <f>DATE(1997,4,25)</f>
        <v>35545</v>
      </c>
      <c r="C1368" s="2" t="s">
        <v>175</v>
      </c>
      <c r="E1368" s="18">
        <v>0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T1368" s="3">
        <f t="shared" si="43"/>
        <v>0</v>
      </c>
      <c r="U1368" s="3">
        <v>2</v>
      </c>
      <c r="V1368" s="3">
        <v>2</v>
      </c>
      <c r="X1368" s="2" t="s">
        <v>446</v>
      </c>
      <c r="Y1368" s="18">
        <v>1</v>
      </c>
      <c r="Z1368" s="18">
        <v>0</v>
      </c>
      <c r="AA1368" s="18">
        <v>0</v>
      </c>
      <c r="AB1368" s="18">
        <v>0</v>
      </c>
      <c r="AC1368" s="18">
        <v>0</v>
      </c>
      <c r="AD1368" s="18">
        <v>2</v>
      </c>
      <c r="AE1368" s="18">
        <v>1</v>
      </c>
      <c r="AN1368" s="3">
        <f t="shared" si="42"/>
        <v>4</v>
      </c>
      <c r="AO1368" s="3">
        <v>5</v>
      </c>
      <c r="AP1368" s="3">
        <v>1</v>
      </c>
      <c r="AR1368" s="2" t="s">
        <v>445</v>
      </c>
    </row>
    <row r="1369" spans="1:44" ht="12.75" customHeight="1">
      <c r="A1369" s="4">
        <v>35907</v>
      </c>
      <c r="C1369" s="2" t="s">
        <v>175</v>
      </c>
      <c r="E1369" s="18">
        <v>0</v>
      </c>
      <c r="F1369" s="18">
        <v>0</v>
      </c>
      <c r="G1369" s="18">
        <v>0</v>
      </c>
      <c r="H1369" s="18">
        <v>9</v>
      </c>
      <c r="I1369" s="18">
        <v>5</v>
      </c>
      <c r="J1369" s="18">
        <v>0</v>
      </c>
      <c r="K1369" s="18" t="s">
        <v>162</v>
      </c>
      <c r="T1369" s="3">
        <f t="shared" si="43"/>
        <v>14</v>
      </c>
      <c r="U1369" s="3">
        <v>17</v>
      </c>
      <c r="V1369" s="3">
        <v>4</v>
      </c>
      <c r="X1369" s="2" t="s">
        <v>1994</v>
      </c>
      <c r="Y1369" s="18">
        <v>2</v>
      </c>
      <c r="Z1369" s="18">
        <v>1</v>
      </c>
      <c r="AA1369" s="18">
        <v>2</v>
      </c>
      <c r="AB1369" s="18">
        <v>0</v>
      </c>
      <c r="AC1369" s="18">
        <v>3</v>
      </c>
      <c r="AD1369" s="18">
        <v>5</v>
      </c>
      <c r="AE1369" s="18">
        <v>0</v>
      </c>
      <c r="AN1369" s="3">
        <f t="shared" si="42"/>
        <v>13</v>
      </c>
      <c r="AO1369" s="3">
        <v>11</v>
      </c>
      <c r="AP1369" s="3">
        <v>1</v>
      </c>
      <c r="AR1369" s="2" t="s">
        <v>2004</v>
      </c>
    </row>
    <row r="1370" spans="1:44" ht="12.75" customHeight="1">
      <c r="A1370" s="5">
        <v>36284</v>
      </c>
      <c r="B1370" s="2" t="s">
        <v>152</v>
      </c>
      <c r="C1370" s="2" t="s">
        <v>175</v>
      </c>
      <c r="E1370" s="18">
        <v>1</v>
      </c>
      <c r="F1370" s="18">
        <v>0</v>
      </c>
      <c r="G1370" s="18">
        <v>2</v>
      </c>
      <c r="H1370" s="18">
        <v>0</v>
      </c>
      <c r="I1370" s="18">
        <v>0</v>
      </c>
      <c r="J1370" s="18">
        <v>0</v>
      </c>
      <c r="K1370" s="18">
        <v>0</v>
      </c>
      <c r="T1370" s="3">
        <f t="shared" si="43"/>
        <v>3</v>
      </c>
      <c r="U1370" s="3">
        <v>7</v>
      </c>
      <c r="V1370" s="3">
        <v>5</v>
      </c>
      <c r="X1370" s="2" t="s">
        <v>1997</v>
      </c>
      <c r="Y1370" s="18">
        <v>2</v>
      </c>
      <c r="Z1370" s="18">
        <v>0</v>
      </c>
      <c r="AA1370" s="18">
        <v>2</v>
      </c>
      <c r="AB1370" s="18">
        <v>1</v>
      </c>
      <c r="AC1370" s="18">
        <v>1</v>
      </c>
      <c r="AD1370" s="18">
        <v>3</v>
      </c>
      <c r="AE1370" s="18" t="s">
        <v>162</v>
      </c>
      <c r="AN1370" s="3">
        <f t="shared" si="42"/>
        <v>9</v>
      </c>
      <c r="AO1370" s="3">
        <v>11</v>
      </c>
      <c r="AP1370" s="3">
        <v>1</v>
      </c>
      <c r="AR1370" s="2" t="s">
        <v>620</v>
      </c>
    </row>
    <row r="1371" spans="1:44" ht="12.75" customHeight="1">
      <c r="A1371" s="4">
        <v>36648</v>
      </c>
      <c r="C1371" s="2" t="s">
        <v>175</v>
      </c>
      <c r="E1371" s="18">
        <v>0</v>
      </c>
      <c r="F1371" s="18">
        <v>1</v>
      </c>
      <c r="G1371" s="18">
        <v>2</v>
      </c>
      <c r="H1371" s="18">
        <v>0</v>
      </c>
      <c r="I1371" s="18">
        <v>0</v>
      </c>
      <c r="J1371" s="18">
        <v>0</v>
      </c>
      <c r="K1371" s="18">
        <v>0</v>
      </c>
      <c r="T1371" s="3">
        <f t="shared" si="43"/>
        <v>3</v>
      </c>
      <c r="U1371" s="3">
        <v>9</v>
      </c>
      <c r="V1371" s="3">
        <v>3</v>
      </c>
      <c r="X1371" s="2" t="s">
        <v>82</v>
      </c>
      <c r="Y1371" s="18">
        <v>2</v>
      </c>
      <c r="Z1371" s="18">
        <v>0</v>
      </c>
      <c r="AA1371" s="18">
        <v>4</v>
      </c>
      <c r="AB1371" s="18">
        <v>2</v>
      </c>
      <c r="AC1371" s="18">
        <v>0</v>
      </c>
      <c r="AD1371" s="18">
        <v>2</v>
      </c>
      <c r="AE1371" s="18">
        <v>0</v>
      </c>
      <c r="AN1371" s="3">
        <f t="shared" si="42"/>
        <v>10</v>
      </c>
      <c r="AO1371" s="3">
        <v>12</v>
      </c>
      <c r="AP1371" s="3">
        <v>3</v>
      </c>
      <c r="AR1371" s="2" t="s">
        <v>83</v>
      </c>
    </row>
    <row r="1372" spans="1:44" ht="12.75" customHeight="1">
      <c r="A1372" s="5">
        <v>37007</v>
      </c>
      <c r="B1372" s="2" t="s">
        <v>152</v>
      </c>
      <c r="C1372" s="2" t="s">
        <v>175</v>
      </c>
      <c r="E1372" s="18">
        <v>0</v>
      </c>
      <c r="F1372" s="18">
        <v>0</v>
      </c>
      <c r="G1372" s="18">
        <v>1</v>
      </c>
      <c r="H1372" s="18">
        <v>0</v>
      </c>
      <c r="I1372" s="18">
        <v>0</v>
      </c>
      <c r="J1372" s="18">
        <v>0</v>
      </c>
      <c r="K1372" s="18">
        <v>0</v>
      </c>
      <c r="T1372" s="3">
        <f t="shared" si="43"/>
        <v>1</v>
      </c>
      <c r="U1372" s="3">
        <v>3</v>
      </c>
      <c r="V1372" s="3">
        <v>3</v>
      </c>
      <c r="X1372" s="2" t="s">
        <v>105</v>
      </c>
      <c r="Y1372" s="18">
        <v>0</v>
      </c>
      <c r="Z1372" s="18">
        <v>1</v>
      </c>
      <c r="AA1372" s="18">
        <v>4</v>
      </c>
      <c r="AB1372" s="18">
        <v>1</v>
      </c>
      <c r="AC1372" s="18">
        <v>3</v>
      </c>
      <c r="AD1372" s="18">
        <v>0</v>
      </c>
      <c r="AE1372" s="18" t="s">
        <v>162</v>
      </c>
      <c r="AN1372" s="3">
        <f t="shared" si="42"/>
        <v>9</v>
      </c>
      <c r="AO1372" s="3">
        <v>10</v>
      </c>
      <c r="AP1372" s="3">
        <v>1</v>
      </c>
      <c r="AR1372" s="2" t="s">
        <v>110</v>
      </c>
    </row>
    <row r="1373" spans="1:44" ht="12.75" customHeight="1">
      <c r="A1373" s="8">
        <v>37377</v>
      </c>
      <c r="C1373" s="2" t="s">
        <v>175</v>
      </c>
      <c r="E1373" s="18">
        <v>1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1</v>
      </c>
      <c r="T1373" s="3">
        <f t="shared" si="43"/>
        <v>2</v>
      </c>
      <c r="U1373" s="3">
        <v>7</v>
      </c>
      <c r="V1373" s="3">
        <v>1</v>
      </c>
      <c r="X1373" s="2" t="s">
        <v>99</v>
      </c>
      <c r="Y1373" s="18">
        <v>0</v>
      </c>
      <c r="Z1373" s="18">
        <v>2</v>
      </c>
      <c r="AA1373" s="18">
        <v>0</v>
      </c>
      <c r="AB1373" s="18">
        <v>0</v>
      </c>
      <c r="AC1373" s="18">
        <v>1</v>
      </c>
      <c r="AD1373" s="18">
        <v>0</v>
      </c>
      <c r="AE1373" s="18">
        <v>0</v>
      </c>
      <c r="AN1373" s="3">
        <f t="shared" si="42"/>
        <v>3</v>
      </c>
      <c r="AO1373" s="3">
        <v>7</v>
      </c>
      <c r="AP1373" s="3">
        <v>0</v>
      </c>
      <c r="AR1373" s="2" t="s">
        <v>1116</v>
      </c>
    </row>
    <row r="1374" spans="1:44" ht="12.75" customHeight="1">
      <c r="A1374" s="8">
        <v>37740</v>
      </c>
      <c r="B1374" s="2" t="s">
        <v>152</v>
      </c>
      <c r="C1374" s="2" t="s">
        <v>175</v>
      </c>
      <c r="E1374" s="18">
        <v>0</v>
      </c>
      <c r="F1374" s="18">
        <v>0</v>
      </c>
      <c r="G1374" s="18">
        <v>0</v>
      </c>
      <c r="H1374" s="18">
        <v>0</v>
      </c>
      <c r="I1374" s="18">
        <v>1</v>
      </c>
      <c r="J1374" s="18">
        <v>0</v>
      </c>
      <c r="K1374" s="18">
        <v>0</v>
      </c>
      <c r="T1374" s="3">
        <f t="shared" si="43"/>
        <v>1</v>
      </c>
      <c r="U1374" s="3">
        <v>6</v>
      </c>
      <c r="V1374" s="3">
        <v>2</v>
      </c>
      <c r="X1374" s="2" t="s">
        <v>576</v>
      </c>
      <c r="Y1374" s="18">
        <v>1</v>
      </c>
      <c r="Z1374" s="18">
        <v>0</v>
      </c>
      <c r="AA1374" s="18">
        <v>1</v>
      </c>
      <c r="AB1374" s="18">
        <v>3</v>
      </c>
      <c r="AC1374" s="18">
        <v>0</v>
      </c>
      <c r="AD1374" s="18">
        <v>0</v>
      </c>
      <c r="AE1374" s="18" t="s">
        <v>162</v>
      </c>
      <c r="AN1374" s="3">
        <f t="shared" si="42"/>
        <v>5</v>
      </c>
      <c r="AO1374" s="3">
        <v>7</v>
      </c>
      <c r="AP1374" s="3">
        <v>0</v>
      </c>
      <c r="AR1374" s="2" t="s">
        <v>581</v>
      </c>
    </row>
    <row r="1375" spans="1:44" ht="12.75" customHeight="1">
      <c r="A1375" s="8">
        <v>37774</v>
      </c>
      <c r="B1375" s="2" t="s">
        <v>239</v>
      </c>
      <c r="C1375" s="2" t="s">
        <v>175</v>
      </c>
      <c r="D1375" s="2" t="s">
        <v>260</v>
      </c>
      <c r="E1375" s="18">
        <v>0</v>
      </c>
      <c r="F1375" s="18">
        <v>0</v>
      </c>
      <c r="G1375" s="18">
        <v>0</v>
      </c>
      <c r="H1375" s="18">
        <v>1</v>
      </c>
      <c r="I1375" s="18">
        <v>0</v>
      </c>
      <c r="T1375" s="3">
        <f t="shared" si="43"/>
        <v>1</v>
      </c>
      <c r="U1375" s="3">
        <v>3</v>
      </c>
      <c r="V1375" s="3">
        <v>1</v>
      </c>
      <c r="X1375" s="2" t="s">
        <v>591</v>
      </c>
      <c r="Y1375" s="18">
        <v>0</v>
      </c>
      <c r="Z1375" s="18">
        <v>1</v>
      </c>
      <c r="AA1375" s="18">
        <v>1</v>
      </c>
      <c r="AB1375" s="18">
        <v>5</v>
      </c>
      <c r="AC1375" s="18">
        <v>4</v>
      </c>
      <c r="AN1375" s="3">
        <f t="shared" si="42"/>
        <v>11</v>
      </c>
      <c r="AO1375" s="3">
        <v>8</v>
      </c>
      <c r="AP1375" s="3">
        <v>1</v>
      </c>
      <c r="AR1375" s="2" t="s">
        <v>581</v>
      </c>
    </row>
    <row r="1376" spans="1:44" ht="12.75" customHeight="1">
      <c r="A1376" s="5">
        <v>38106</v>
      </c>
      <c r="C1376" s="2" t="s">
        <v>175</v>
      </c>
      <c r="E1376" s="18">
        <v>2</v>
      </c>
      <c r="F1376" s="18">
        <v>0</v>
      </c>
      <c r="G1376" s="18">
        <v>0</v>
      </c>
      <c r="H1376" s="18">
        <v>0</v>
      </c>
      <c r="I1376" s="18">
        <v>0</v>
      </c>
      <c r="J1376" s="18">
        <v>1</v>
      </c>
      <c r="K1376" s="18">
        <v>1</v>
      </c>
      <c r="T1376" s="3">
        <f t="shared" si="43"/>
        <v>4</v>
      </c>
      <c r="U1376" s="3">
        <v>8</v>
      </c>
      <c r="V1376" s="3">
        <v>1</v>
      </c>
      <c r="X1376" s="2" t="s">
        <v>527</v>
      </c>
      <c r="Y1376" s="18">
        <v>1</v>
      </c>
      <c r="Z1376" s="18">
        <v>1</v>
      </c>
      <c r="AA1376" s="18">
        <v>0</v>
      </c>
      <c r="AB1376" s="18">
        <v>4</v>
      </c>
      <c r="AC1376" s="18">
        <v>0</v>
      </c>
      <c r="AD1376" s="18">
        <v>1</v>
      </c>
      <c r="AE1376" s="18">
        <v>1</v>
      </c>
      <c r="AN1376" s="3">
        <f t="shared" si="42"/>
        <v>8</v>
      </c>
      <c r="AO1376" s="3">
        <v>13</v>
      </c>
      <c r="AP1376" s="3">
        <v>3</v>
      </c>
      <c r="AR1376" s="2" t="s">
        <v>526</v>
      </c>
    </row>
    <row r="1377" spans="1:44" ht="12.75" customHeight="1">
      <c r="A1377" s="5">
        <f>DATE(2005,4,25)</f>
        <v>38467</v>
      </c>
      <c r="C1377" s="2" t="s">
        <v>175</v>
      </c>
      <c r="E1377" s="18">
        <v>0</v>
      </c>
      <c r="F1377" s="18">
        <v>0</v>
      </c>
      <c r="G1377" s="18">
        <v>0</v>
      </c>
      <c r="H1377" s="18">
        <v>0</v>
      </c>
      <c r="I1377" s="18">
        <v>0</v>
      </c>
      <c r="T1377" s="3">
        <f t="shared" si="43"/>
        <v>0</v>
      </c>
      <c r="U1377" s="3">
        <v>1</v>
      </c>
      <c r="V1377" s="3">
        <v>3</v>
      </c>
      <c r="X1377" s="2" t="s">
        <v>550</v>
      </c>
      <c r="Y1377" s="18">
        <v>1</v>
      </c>
      <c r="Z1377" s="18">
        <v>0</v>
      </c>
      <c r="AA1377" s="18">
        <v>5</v>
      </c>
      <c r="AB1377" s="18">
        <v>4</v>
      </c>
      <c r="AN1377" s="3">
        <f t="shared" si="42"/>
        <v>10</v>
      </c>
      <c r="AO1377" s="3">
        <v>10</v>
      </c>
      <c r="AP1377" s="3">
        <v>4</v>
      </c>
      <c r="AR1377" s="2" t="s">
        <v>549</v>
      </c>
    </row>
    <row r="1378" spans="1:44" ht="12.75" customHeight="1">
      <c r="A1378" s="5">
        <v>38835</v>
      </c>
      <c r="C1378" s="2" t="s">
        <v>175</v>
      </c>
      <c r="E1378" s="18">
        <v>0</v>
      </c>
      <c r="F1378" s="18">
        <v>2</v>
      </c>
      <c r="G1378" s="18">
        <v>1</v>
      </c>
      <c r="H1378" s="18">
        <v>0</v>
      </c>
      <c r="I1378" s="18">
        <v>2</v>
      </c>
      <c r="J1378" s="18">
        <v>0</v>
      </c>
      <c r="T1378" s="3">
        <f t="shared" si="43"/>
        <v>5</v>
      </c>
      <c r="U1378" s="3">
        <v>8</v>
      </c>
      <c r="V1378" s="3">
        <v>3</v>
      </c>
      <c r="X1378" s="2" t="s">
        <v>1681</v>
      </c>
      <c r="Y1378" s="18">
        <v>9</v>
      </c>
      <c r="Z1378" s="18">
        <v>0</v>
      </c>
      <c r="AA1378" s="18">
        <v>1</v>
      </c>
      <c r="AB1378" s="18">
        <v>1</v>
      </c>
      <c r="AC1378" s="18">
        <v>0</v>
      </c>
      <c r="AD1378" s="18">
        <v>5</v>
      </c>
      <c r="AN1378" s="3">
        <f t="shared" si="42"/>
        <v>16</v>
      </c>
      <c r="AO1378" s="3">
        <v>19</v>
      </c>
      <c r="AP1378" s="3">
        <v>1</v>
      </c>
      <c r="AR1378" s="2" t="s">
        <v>1671</v>
      </c>
    </row>
    <row r="1379" spans="1:44" ht="12.75" customHeight="1">
      <c r="A1379" s="5">
        <v>39220</v>
      </c>
      <c r="B1379" s="2" t="s">
        <v>152</v>
      </c>
      <c r="C1379" s="2" t="s">
        <v>175</v>
      </c>
      <c r="E1379" s="18">
        <v>1</v>
      </c>
      <c r="F1379" s="18">
        <v>0</v>
      </c>
      <c r="G1379" s="18">
        <v>2</v>
      </c>
      <c r="H1379" s="18">
        <v>0</v>
      </c>
      <c r="I1379" s="18">
        <v>2</v>
      </c>
      <c r="J1379" s="18">
        <v>1</v>
      </c>
      <c r="K1379" s="18">
        <v>0</v>
      </c>
      <c r="T1379" s="3">
        <f t="shared" si="43"/>
        <v>6</v>
      </c>
      <c r="U1379" s="3">
        <v>9</v>
      </c>
      <c r="V1379" s="3">
        <v>1</v>
      </c>
      <c r="X1379" s="2" t="s">
        <v>592</v>
      </c>
      <c r="Y1379" s="18">
        <v>2</v>
      </c>
      <c r="Z1379" s="18">
        <v>1</v>
      </c>
      <c r="AA1379" s="18">
        <v>0</v>
      </c>
      <c r="AB1379" s="18">
        <v>0</v>
      </c>
      <c r="AC1379" s="18">
        <v>1</v>
      </c>
      <c r="AD1379" s="18">
        <v>0</v>
      </c>
      <c r="AE1379" s="18">
        <v>3</v>
      </c>
      <c r="AN1379" s="3">
        <f t="shared" si="42"/>
        <v>7</v>
      </c>
      <c r="AO1379" s="3">
        <v>12</v>
      </c>
      <c r="AP1379" s="3">
        <v>2</v>
      </c>
      <c r="AR1379" s="2" t="s">
        <v>384</v>
      </c>
    </row>
    <row r="1380" spans="1:44" ht="12.75" customHeight="1">
      <c r="A1380" s="5">
        <v>39574</v>
      </c>
      <c r="C1380" s="2" t="s">
        <v>175</v>
      </c>
      <c r="E1380" s="18">
        <v>2</v>
      </c>
      <c r="F1380" s="18">
        <v>0</v>
      </c>
      <c r="G1380" s="18">
        <v>0</v>
      </c>
      <c r="H1380" s="18">
        <v>2</v>
      </c>
      <c r="I1380" s="18">
        <v>0</v>
      </c>
      <c r="J1380" s="18">
        <v>0</v>
      </c>
      <c r="K1380" s="18">
        <v>0</v>
      </c>
      <c r="T1380" s="3">
        <f t="shared" si="43"/>
        <v>4</v>
      </c>
      <c r="U1380" s="3">
        <v>7</v>
      </c>
      <c r="V1380" s="3">
        <v>3</v>
      </c>
      <c r="X1380" s="2" t="s">
        <v>0</v>
      </c>
      <c r="Y1380" s="18">
        <v>3</v>
      </c>
      <c r="Z1380" s="18">
        <v>0</v>
      </c>
      <c r="AA1380" s="18">
        <v>1</v>
      </c>
      <c r="AB1380" s="18">
        <v>3</v>
      </c>
      <c r="AC1380" s="18">
        <v>4</v>
      </c>
      <c r="AD1380" s="18">
        <v>0</v>
      </c>
      <c r="AE1380" s="18">
        <v>3</v>
      </c>
      <c r="AN1380" s="3">
        <f t="shared" si="42"/>
        <v>14</v>
      </c>
      <c r="AO1380" s="3">
        <v>17</v>
      </c>
      <c r="AP1380" s="3">
        <v>2</v>
      </c>
      <c r="AR1380" s="2" t="s">
        <v>1</v>
      </c>
    </row>
    <row r="1381" spans="1:44" ht="12.75" customHeight="1">
      <c r="A1381" s="5">
        <v>39896</v>
      </c>
      <c r="B1381" s="2" t="s">
        <v>152</v>
      </c>
      <c r="C1381" s="2" t="s">
        <v>175</v>
      </c>
      <c r="E1381" s="18">
        <v>0</v>
      </c>
      <c r="F1381" s="18">
        <v>1</v>
      </c>
      <c r="G1381" s="18">
        <v>0</v>
      </c>
      <c r="H1381" s="18">
        <v>1</v>
      </c>
      <c r="I1381" s="18">
        <v>0</v>
      </c>
      <c r="J1381" s="18">
        <v>2</v>
      </c>
      <c r="K1381" s="18">
        <v>0</v>
      </c>
      <c r="T1381" s="3">
        <f t="shared" si="43"/>
        <v>4</v>
      </c>
      <c r="U1381" s="3">
        <v>8</v>
      </c>
      <c r="V1381" s="3">
        <v>3</v>
      </c>
      <c r="X1381" s="2" t="s">
        <v>442</v>
      </c>
      <c r="Y1381" s="18">
        <v>0</v>
      </c>
      <c r="Z1381" s="18">
        <v>2</v>
      </c>
      <c r="AA1381" s="18">
        <v>0</v>
      </c>
      <c r="AB1381" s="18">
        <v>5</v>
      </c>
      <c r="AC1381" s="18">
        <v>2</v>
      </c>
      <c r="AD1381" s="18">
        <v>1</v>
      </c>
      <c r="AE1381" s="18" t="s">
        <v>162</v>
      </c>
      <c r="AN1381" s="3">
        <f t="shared" si="42"/>
        <v>10</v>
      </c>
      <c r="AO1381" s="3">
        <v>11</v>
      </c>
      <c r="AP1381" s="3">
        <v>2</v>
      </c>
      <c r="AR1381" s="2" t="s">
        <v>498</v>
      </c>
    </row>
    <row r="1382" spans="1:44" ht="12.75" customHeight="1">
      <c r="A1382" s="5">
        <v>40269</v>
      </c>
      <c r="C1382" s="2" t="s">
        <v>175</v>
      </c>
      <c r="E1382" s="18">
        <v>2</v>
      </c>
      <c r="F1382" s="18">
        <v>0</v>
      </c>
      <c r="G1382" s="18">
        <v>1</v>
      </c>
      <c r="H1382" s="18">
        <v>1</v>
      </c>
      <c r="I1382" s="18">
        <v>0</v>
      </c>
      <c r="J1382" s="18">
        <v>0</v>
      </c>
      <c r="K1382" s="18">
        <v>1</v>
      </c>
      <c r="T1382" s="3">
        <f t="shared" si="43"/>
        <v>5</v>
      </c>
      <c r="U1382" s="3">
        <v>8</v>
      </c>
      <c r="V1382" s="3">
        <v>1</v>
      </c>
      <c r="X1382" s="2" t="s">
        <v>760</v>
      </c>
      <c r="Y1382" s="18">
        <v>0</v>
      </c>
      <c r="Z1382" s="18">
        <v>2</v>
      </c>
      <c r="AA1382" s="18">
        <v>1</v>
      </c>
      <c r="AB1382" s="18">
        <v>1</v>
      </c>
      <c r="AC1382" s="18">
        <v>0</v>
      </c>
      <c r="AD1382" s="18">
        <v>0</v>
      </c>
      <c r="AE1382" s="18">
        <v>0</v>
      </c>
      <c r="AN1382" s="3">
        <f t="shared" si="42"/>
        <v>4</v>
      </c>
      <c r="AO1382" s="3">
        <v>10</v>
      </c>
      <c r="AP1382" s="3">
        <v>0</v>
      </c>
      <c r="AR1382" s="2" t="s">
        <v>761</v>
      </c>
    </row>
    <row r="1383" spans="1:44" ht="12.75" customHeight="1">
      <c r="A1383" s="4">
        <f>DATE(82,3,27)</f>
        <v>30037</v>
      </c>
      <c r="B1383" s="2" t="s">
        <v>152</v>
      </c>
      <c r="C1383" s="2" t="s">
        <v>1360</v>
      </c>
      <c r="E1383" s="18">
        <v>0</v>
      </c>
      <c r="F1383" s="18">
        <v>4</v>
      </c>
      <c r="G1383" s="18">
        <v>6</v>
      </c>
      <c r="H1383" s="18">
        <v>2</v>
      </c>
      <c r="I1383" s="18">
        <v>2</v>
      </c>
      <c r="T1383" s="3">
        <v>14</v>
      </c>
      <c r="U1383" s="3">
        <v>10</v>
      </c>
      <c r="V1383" s="3">
        <v>1</v>
      </c>
      <c r="X1383" s="2" t="s">
        <v>1361</v>
      </c>
      <c r="Y1383" s="18">
        <v>0</v>
      </c>
      <c r="Z1383" s="18">
        <v>0</v>
      </c>
      <c r="AA1383" s="18">
        <v>2</v>
      </c>
      <c r="AB1383" s="18">
        <v>1</v>
      </c>
      <c r="AC1383" s="18">
        <v>0</v>
      </c>
      <c r="AN1383" s="3">
        <v>3</v>
      </c>
      <c r="AO1383" s="3">
        <v>5</v>
      </c>
      <c r="AP1383" s="3">
        <v>7</v>
      </c>
      <c r="AR1383" s="2" t="s">
        <v>1362</v>
      </c>
    </row>
    <row r="1384" spans="1:44" ht="12.75" customHeight="1">
      <c r="A1384" s="4">
        <f>DATE(82,3,27)</f>
        <v>30037</v>
      </c>
      <c r="B1384" s="2" t="s">
        <v>152</v>
      </c>
      <c r="C1384" s="2" t="s">
        <v>1360</v>
      </c>
      <c r="E1384" s="18">
        <v>0</v>
      </c>
      <c r="F1384" s="18">
        <v>1</v>
      </c>
      <c r="G1384" s="18">
        <v>3</v>
      </c>
      <c r="H1384" s="18">
        <v>0</v>
      </c>
      <c r="I1384" s="18">
        <v>2</v>
      </c>
      <c r="J1384" s="18">
        <v>1</v>
      </c>
      <c r="K1384" s="18">
        <v>0</v>
      </c>
      <c r="T1384" s="3">
        <v>7</v>
      </c>
      <c r="U1384" s="3">
        <v>8</v>
      </c>
      <c r="V1384" s="3">
        <v>7</v>
      </c>
      <c r="X1384" s="2" t="s">
        <v>1366</v>
      </c>
      <c r="Y1384" s="18">
        <v>0</v>
      </c>
      <c r="Z1384" s="18">
        <v>0</v>
      </c>
      <c r="AA1384" s="18">
        <v>0</v>
      </c>
      <c r="AB1384" s="18">
        <v>0</v>
      </c>
      <c r="AC1384" s="18">
        <v>4</v>
      </c>
      <c r="AD1384" s="18">
        <v>0</v>
      </c>
      <c r="AE1384" s="18">
        <v>1</v>
      </c>
      <c r="AN1384" s="3">
        <v>5</v>
      </c>
      <c r="AO1384" s="3">
        <v>5</v>
      </c>
      <c r="AP1384" s="3">
        <v>3</v>
      </c>
      <c r="AR1384" s="2" t="s">
        <v>1367</v>
      </c>
    </row>
    <row r="1385" spans="1:44" ht="12.75" customHeight="1">
      <c r="A1385" s="4">
        <v>18023</v>
      </c>
      <c r="B1385" s="2" t="s">
        <v>152</v>
      </c>
      <c r="C1385" s="2" t="s">
        <v>195</v>
      </c>
      <c r="E1385" s="18">
        <v>0</v>
      </c>
      <c r="F1385" s="18">
        <v>0</v>
      </c>
      <c r="G1385" s="18">
        <v>3</v>
      </c>
      <c r="H1385" s="18">
        <v>2</v>
      </c>
      <c r="I1385" s="18">
        <v>0</v>
      </c>
      <c r="J1385" s="18">
        <v>0</v>
      </c>
      <c r="K1385" s="18">
        <v>1</v>
      </c>
      <c r="T1385" s="3">
        <v>6</v>
      </c>
      <c r="U1385" s="3">
        <v>8</v>
      </c>
      <c r="V1385" s="3">
        <v>2</v>
      </c>
      <c r="X1385" s="2" t="s">
        <v>79</v>
      </c>
      <c r="Y1385" s="18">
        <v>1</v>
      </c>
      <c r="Z1385" s="18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2</v>
      </c>
      <c r="AN1385" s="3">
        <v>3</v>
      </c>
      <c r="AO1385" s="3">
        <v>4</v>
      </c>
      <c r="AP1385" s="3">
        <v>6</v>
      </c>
      <c r="AR1385" s="2" t="s">
        <v>337</v>
      </c>
    </row>
    <row r="1386" spans="1:44" ht="12.75" customHeight="1">
      <c r="A1386" s="4">
        <v>18035</v>
      </c>
      <c r="C1386" s="2" t="s">
        <v>195</v>
      </c>
      <c r="E1386" s="18">
        <v>0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2</v>
      </c>
      <c r="T1386" s="3">
        <v>2</v>
      </c>
      <c r="U1386" s="3">
        <v>5</v>
      </c>
      <c r="V1386" s="3">
        <v>0</v>
      </c>
      <c r="X1386" s="2" t="s">
        <v>79</v>
      </c>
      <c r="Y1386" s="18">
        <v>1</v>
      </c>
      <c r="Z1386" s="18">
        <v>0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N1386" s="3">
        <v>1</v>
      </c>
      <c r="AO1386" s="3">
        <v>5</v>
      </c>
      <c r="AP1386" s="3">
        <v>2</v>
      </c>
      <c r="AR1386" s="2" t="s">
        <v>342</v>
      </c>
    </row>
    <row r="1387" spans="1:44" ht="12.75" customHeight="1">
      <c r="A1387" s="4">
        <f>DATE(81,3,25)</f>
        <v>29670</v>
      </c>
      <c r="B1387" s="2" t="s">
        <v>152</v>
      </c>
      <c r="C1387" s="2" t="s">
        <v>1312</v>
      </c>
      <c r="E1387" s="18">
        <v>0</v>
      </c>
      <c r="F1387" s="18">
        <v>0</v>
      </c>
      <c r="G1387" s="18">
        <v>0</v>
      </c>
      <c r="H1387" s="18">
        <v>0</v>
      </c>
      <c r="I1387" s="18">
        <v>2</v>
      </c>
      <c r="J1387" s="18">
        <v>0</v>
      </c>
      <c r="K1387" s="18">
        <v>0</v>
      </c>
      <c r="T1387" s="3">
        <v>2</v>
      </c>
      <c r="U1387" s="3">
        <v>5</v>
      </c>
      <c r="V1387" s="3">
        <v>4</v>
      </c>
      <c r="X1387" s="2" t="s">
        <v>1313</v>
      </c>
      <c r="Y1387" s="18">
        <v>0</v>
      </c>
      <c r="Z1387" s="18">
        <v>0</v>
      </c>
      <c r="AA1387" s="18">
        <v>0</v>
      </c>
      <c r="AB1387" s="18">
        <v>1</v>
      </c>
      <c r="AC1387" s="18">
        <v>1</v>
      </c>
      <c r="AD1387" s="18">
        <v>2</v>
      </c>
      <c r="AE1387" s="18" t="s">
        <v>162</v>
      </c>
      <c r="AN1387" s="3">
        <v>4</v>
      </c>
      <c r="AO1387" s="3">
        <v>6</v>
      </c>
      <c r="AP1387" s="3">
        <v>1</v>
      </c>
      <c r="AR1387" s="2" t="s">
        <v>1314</v>
      </c>
    </row>
    <row r="1388" spans="1:44" ht="12.75" customHeight="1">
      <c r="A1388" s="4">
        <f>DATE(82,3,27)</f>
        <v>30037</v>
      </c>
      <c r="B1388" s="2" t="s">
        <v>152</v>
      </c>
      <c r="C1388" s="2" t="s">
        <v>1363</v>
      </c>
      <c r="E1388" s="18">
        <v>0</v>
      </c>
      <c r="F1388" s="18">
        <v>1</v>
      </c>
      <c r="G1388" s="18">
        <v>9</v>
      </c>
      <c r="H1388" s="18">
        <v>2</v>
      </c>
      <c r="I1388" s="18">
        <v>1</v>
      </c>
      <c r="J1388" s="18">
        <v>4</v>
      </c>
      <c r="T1388" s="3">
        <v>17</v>
      </c>
      <c r="U1388" s="3">
        <v>15</v>
      </c>
      <c r="V1388" s="3">
        <v>2</v>
      </c>
      <c r="X1388" s="2" t="s">
        <v>1364</v>
      </c>
      <c r="Y1388" s="18">
        <v>3</v>
      </c>
      <c r="Z1388" s="18">
        <v>0</v>
      </c>
      <c r="AA1388" s="18">
        <v>0</v>
      </c>
      <c r="AB1388" s="18">
        <v>1</v>
      </c>
      <c r="AC1388" s="18">
        <v>0</v>
      </c>
      <c r="AD1388" s="18">
        <v>3</v>
      </c>
      <c r="AN1388" s="3">
        <v>7</v>
      </c>
      <c r="AO1388" s="3">
        <v>6</v>
      </c>
      <c r="AP1388" s="3">
        <v>2</v>
      </c>
      <c r="AR1388" s="2" t="s">
        <v>1365</v>
      </c>
    </row>
    <row r="1389" spans="1:44" ht="12.75" customHeight="1">
      <c r="A1389" s="4">
        <f>DATE(84,4,28)</f>
        <v>30800</v>
      </c>
      <c r="C1389" s="2" t="s">
        <v>1463</v>
      </c>
      <c r="E1389" s="18">
        <v>6</v>
      </c>
      <c r="F1389" s="18">
        <v>3</v>
      </c>
      <c r="G1389" s="18">
        <v>3</v>
      </c>
      <c r="H1389" s="18">
        <v>2</v>
      </c>
      <c r="I1389" s="18">
        <v>0</v>
      </c>
      <c r="T1389" s="3">
        <v>14</v>
      </c>
      <c r="U1389" s="3">
        <v>10</v>
      </c>
      <c r="V1389" s="3">
        <v>2</v>
      </c>
      <c r="X1389" s="2" t="s">
        <v>1464</v>
      </c>
      <c r="Y1389" s="18">
        <v>1</v>
      </c>
      <c r="Z1389" s="18">
        <v>0</v>
      </c>
      <c r="AA1389" s="18">
        <v>0</v>
      </c>
      <c r="AB1389" s="18">
        <v>1</v>
      </c>
      <c r="AC1389" s="18">
        <v>1</v>
      </c>
      <c r="AN1389" s="3">
        <v>3</v>
      </c>
      <c r="AO1389" s="3">
        <v>3</v>
      </c>
      <c r="AP1389" s="3">
        <v>3</v>
      </c>
      <c r="AR1389" s="2" t="s">
        <v>319</v>
      </c>
    </row>
    <row r="1390" spans="1:44" ht="12.75" customHeight="1">
      <c r="A1390" s="4">
        <f>DATE(81,4,2)</f>
        <v>29678</v>
      </c>
      <c r="B1390" s="2" t="s">
        <v>152</v>
      </c>
      <c r="C1390" s="2" t="s">
        <v>297</v>
      </c>
      <c r="E1390" s="18">
        <v>1</v>
      </c>
      <c r="F1390" s="18">
        <v>0</v>
      </c>
      <c r="G1390" s="18">
        <v>1</v>
      </c>
      <c r="H1390" s="18">
        <v>0</v>
      </c>
      <c r="I1390" s="18">
        <v>3</v>
      </c>
      <c r="J1390" s="18">
        <v>1</v>
      </c>
      <c r="K1390" s="18">
        <v>0</v>
      </c>
      <c r="T1390" s="3">
        <v>6</v>
      </c>
      <c r="U1390" s="3">
        <v>8</v>
      </c>
      <c r="V1390" s="3">
        <v>3</v>
      </c>
      <c r="X1390" s="2" t="s">
        <v>1320</v>
      </c>
      <c r="Y1390" s="18">
        <v>0</v>
      </c>
      <c r="Z1390" s="18">
        <v>0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N1390" s="3">
        <v>0</v>
      </c>
      <c r="AO1390" s="3">
        <v>2</v>
      </c>
      <c r="AP1390" s="3">
        <v>2</v>
      </c>
      <c r="AR1390" s="2" t="s">
        <v>1321</v>
      </c>
    </row>
    <row r="1391" spans="1:44" ht="12.75" customHeight="1">
      <c r="A1391" s="4">
        <f>DATE(81,4,6)</f>
        <v>29682</v>
      </c>
      <c r="C1391" s="2" t="s">
        <v>297</v>
      </c>
      <c r="E1391" s="18">
        <v>0</v>
      </c>
      <c r="F1391" s="18">
        <v>2</v>
      </c>
      <c r="G1391" s="18">
        <v>0</v>
      </c>
      <c r="H1391" s="18">
        <v>0</v>
      </c>
      <c r="I1391" s="18">
        <v>4</v>
      </c>
      <c r="J1391" s="18">
        <v>1</v>
      </c>
      <c r="K1391" s="18" t="s">
        <v>162</v>
      </c>
      <c r="T1391" s="3">
        <v>7</v>
      </c>
      <c r="U1391" s="3">
        <v>8</v>
      </c>
      <c r="V1391" s="3">
        <v>2</v>
      </c>
      <c r="X1391" s="2" t="s">
        <v>1323</v>
      </c>
      <c r="Y1391" s="18">
        <v>4</v>
      </c>
      <c r="Z1391" s="18">
        <v>2</v>
      </c>
      <c r="AA1391" s="18">
        <v>0</v>
      </c>
      <c r="AB1391" s="18">
        <v>0</v>
      </c>
      <c r="AC1391" s="18">
        <v>0</v>
      </c>
      <c r="AD1391" s="18">
        <v>0</v>
      </c>
      <c r="AE1391" s="18">
        <v>0</v>
      </c>
      <c r="AN1391" s="3">
        <v>6</v>
      </c>
      <c r="AO1391" s="3">
        <v>7</v>
      </c>
      <c r="AP1391" s="3">
        <v>3</v>
      </c>
      <c r="AR1391" s="2" t="s">
        <v>1324</v>
      </c>
    </row>
    <row r="1392" spans="1:44" ht="12.75" customHeight="1">
      <c r="A1392" s="4">
        <f>DATE(83,5,21)</f>
        <v>30457</v>
      </c>
      <c r="B1392" s="2" t="s">
        <v>152</v>
      </c>
      <c r="C1392" s="2" t="s">
        <v>297</v>
      </c>
      <c r="E1392" s="18">
        <v>0</v>
      </c>
      <c r="F1392" s="18">
        <v>1</v>
      </c>
      <c r="G1392" s="18">
        <v>1</v>
      </c>
      <c r="H1392" s="18">
        <v>3</v>
      </c>
      <c r="I1392" s="18">
        <v>1</v>
      </c>
      <c r="J1392" s="18">
        <v>4</v>
      </c>
      <c r="T1392" s="3">
        <v>10</v>
      </c>
      <c r="U1392" s="3">
        <v>18</v>
      </c>
      <c r="V1392" s="3">
        <v>1</v>
      </c>
      <c r="X1392" s="2" t="s">
        <v>1366</v>
      </c>
      <c r="Y1392" s="18">
        <v>0</v>
      </c>
      <c r="Z1392" s="18">
        <v>0</v>
      </c>
      <c r="AA1392" s="18">
        <v>0</v>
      </c>
      <c r="AB1392" s="18">
        <v>0</v>
      </c>
      <c r="AC1392" s="18">
        <v>0</v>
      </c>
      <c r="AD1392" s="18">
        <v>0</v>
      </c>
      <c r="AN1392" s="3">
        <v>0</v>
      </c>
      <c r="AO1392" s="3">
        <v>3</v>
      </c>
      <c r="AP1392" s="3">
        <v>2</v>
      </c>
      <c r="AR1392" s="2" t="s">
        <v>312</v>
      </c>
    </row>
    <row r="1393" spans="1:44" ht="12.75" customHeight="1">
      <c r="A1393" s="4">
        <f>DATE(83,5,21)</f>
        <v>30457</v>
      </c>
      <c r="B1393" s="2" t="s">
        <v>152</v>
      </c>
      <c r="C1393" s="2" t="s">
        <v>297</v>
      </c>
      <c r="E1393" s="18">
        <v>5</v>
      </c>
      <c r="F1393" s="18">
        <v>4</v>
      </c>
      <c r="G1393" s="18">
        <v>3</v>
      </c>
      <c r="H1393" s="18">
        <v>2</v>
      </c>
      <c r="I1393" s="18">
        <v>6</v>
      </c>
      <c r="T1393" s="3">
        <v>20</v>
      </c>
      <c r="U1393" s="3">
        <v>13</v>
      </c>
      <c r="V1393" s="3">
        <v>2</v>
      </c>
      <c r="X1393" s="2" t="s">
        <v>1410</v>
      </c>
      <c r="Y1393" s="18">
        <v>0</v>
      </c>
      <c r="Z1393" s="18">
        <v>0</v>
      </c>
      <c r="AA1393" s="18">
        <v>0</v>
      </c>
      <c r="AB1393" s="18">
        <v>0</v>
      </c>
      <c r="AC1393" s="18">
        <v>0</v>
      </c>
      <c r="AN1393" s="3">
        <v>0</v>
      </c>
      <c r="AO1393" s="3">
        <v>4</v>
      </c>
      <c r="AP1393" s="3">
        <v>4</v>
      </c>
      <c r="AR1393" s="2" t="s">
        <v>313</v>
      </c>
    </row>
    <row r="1394" spans="1:44" ht="12.75" customHeight="1">
      <c r="A1394" s="4">
        <f>DATE(84,4,14)</f>
        <v>30786</v>
      </c>
      <c r="C1394" s="2" t="s">
        <v>297</v>
      </c>
      <c r="E1394" s="18">
        <v>0</v>
      </c>
      <c r="F1394" s="18">
        <v>1</v>
      </c>
      <c r="G1394" s="18">
        <v>7</v>
      </c>
      <c r="H1394" s="18">
        <v>6</v>
      </c>
      <c r="I1394" s="18">
        <v>0</v>
      </c>
      <c r="J1394" s="18">
        <v>2</v>
      </c>
      <c r="K1394" s="18" t="s">
        <v>162</v>
      </c>
      <c r="T1394" s="3">
        <v>16</v>
      </c>
      <c r="U1394" s="3">
        <v>21</v>
      </c>
      <c r="V1394" s="3">
        <v>2</v>
      </c>
      <c r="X1394" s="2" t="s">
        <v>1457</v>
      </c>
      <c r="Y1394" s="18">
        <v>0</v>
      </c>
      <c r="Z1394" s="18">
        <v>2</v>
      </c>
      <c r="AA1394" s="18">
        <v>5</v>
      </c>
      <c r="AB1394" s="18">
        <v>0</v>
      </c>
      <c r="AC1394" s="18">
        <v>0</v>
      </c>
      <c r="AD1394" s="18">
        <v>0</v>
      </c>
      <c r="AE1394" s="18">
        <v>0</v>
      </c>
      <c r="AN1394" s="3">
        <v>7</v>
      </c>
      <c r="AO1394" s="3">
        <v>3</v>
      </c>
      <c r="AP1394" s="3">
        <v>1</v>
      </c>
      <c r="AR1394" s="2" t="s">
        <v>1458</v>
      </c>
    </row>
    <row r="1395" spans="1:44" ht="12.75" customHeight="1">
      <c r="A1395" s="5">
        <v>40644</v>
      </c>
      <c r="C1395" s="2" t="s">
        <v>297</v>
      </c>
      <c r="E1395" s="18">
        <v>2</v>
      </c>
      <c r="F1395" s="18">
        <v>0</v>
      </c>
      <c r="G1395" s="18">
        <v>0</v>
      </c>
      <c r="H1395" s="18">
        <v>0</v>
      </c>
      <c r="I1395" s="18">
        <v>1</v>
      </c>
      <c r="J1395" s="18">
        <v>1</v>
      </c>
      <c r="K1395" s="18">
        <v>0</v>
      </c>
      <c r="T1395" s="3">
        <f aca="true" t="shared" si="44" ref="T1395:T1414">SUM(E1395:S1395)</f>
        <v>4</v>
      </c>
      <c r="U1395" s="3">
        <v>3</v>
      </c>
      <c r="V1395" s="3">
        <v>4</v>
      </c>
      <c r="X1395" s="2" t="s">
        <v>1966</v>
      </c>
      <c r="Y1395" s="18">
        <v>4</v>
      </c>
      <c r="Z1395" s="18">
        <v>0</v>
      </c>
      <c r="AA1395" s="18">
        <v>0</v>
      </c>
      <c r="AB1395" s="18">
        <v>0</v>
      </c>
      <c r="AC1395" s="18">
        <v>2</v>
      </c>
      <c r="AD1395" s="18">
        <v>3</v>
      </c>
      <c r="AE1395" s="18">
        <v>0</v>
      </c>
      <c r="AN1395" s="3">
        <f aca="true" t="shared" si="45" ref="AN1395:AN1414">SUM(Y1395:AM1395)</f>
        <v>9</v>
      </c>
      <c r="AO1395" s="3">
        <v>11</v>
      </c>
      <c r="AP1395" s="3">
        <v>3</v>
      </c>
      <c r="AR1395" s="2" t="s">
        <v>1965</v>
      </c>
    </row>
    <row r="1396" spans="1:44" ht="12.75" customHeight="1">
      <c r="A1396" s="5">
        <v>40665</v>
      </c>
      <c r="B1396" s="2" t="s">
        <v>152</v>
      </c>
      <c r="C1396" s="2" t="s">
        <v>297</v>
      </c>
      <c r="E1396" s="18">
        <v>0</v>
      </c>
      <c r="F1396" s="18">
        <v>0</v>
      </c>
      <c r="G1396" s="18">
        <v>1</v>
      </c>
      <c r="H1396" s="18">
        <v>0</v>
      </c>
      <c r="I1396" s="18">
        <v>3</v>
      </c>
      <c r="J1396" s="18">
        <v>3</v>
      </c>
      <c r="K1396" s="18">
        <v>3</v>
      </c>
      <c r="T1396" s="3">
        <f t="shared" si="44"/>
        <v>10</v>
      </c>
      <c r="U1396" s="3">
        <v>12</v>
      </c>
      <c r="V1396" s="3">
        <v>0</v>
      </c>
      <c r="X1396" s="2" t="s">
        <v>1964</v>
      </c>
      <c r="Y1396" s="18">
        <v>0</v>
      </c>
      <c r="AA1396" s="18">
        <v>0</v>
      </c>
      <c r="AB1396" s="18">
        <v>2</v>
      </c>
      <c r="AC1396" s="18">
        <v>3</v>
      </c>
      <c r="AD1396" s="18">
        <v>0</v>
      </c>
      <c r="AE1396" s="18">
        <v>1</v>
      </c>
      <c r="AF1396" s="18">
        <v>3</v>
      </c>
      <c r="AN1396" s="3">
        <f t="shared" si="45"/>
        <v>9</v>
      </c>
      <c r="AO1396" s="3">
        <v>14</v>
      </c>
      <c r="AP1396" s="3">
        <v>4</v>
      </c>
      <c r="AR1396" s="10" t="s">
        <v>1977</v>
      </c>
    </row>
    <row r="1397" spans="1:44" ht="12.75" customHeight="1">
      <c r="A1397" s="5">
        <v>41010</v>
      </c>
      <c r="B1397" s="2" t="s">
        <v>152</v>
      </c>
      <c r="C1397" s="2" t="s">
        <v>297</v>
      </c>
      <c r="E1397" s="18">
        <v>0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T1397" s="3">
        <f t="shared" si="44"/>
        <v>0</v>
      </c>
      <c r="U1397" s="3">
        <v>3</v>
      </c>
      <c r="V1397" s="3">
        <v>2</v>
      </c>
      <c r="X1397" s="2" t="s">
        <v>2033</v>
      </c>
      <c r="Y1397" s="18">
        <v>1</v>
      </c>
      <c r="Z1397" s="18">
        <v>1</v>
      </c>
      <c r="AA1397" s="18">
        <v>0</v>
      </c>
      <c r="AB1397" s="18">
        <v>1</v>
      </c>
      <c r="AC1397" s="18">
        <v>0</v>
      </c>
      <c r="AD1397" s="18">
        <v>0</v>
      </c>
      <c r="AE1397" s="18" t="s">
        <v>162</v>
      </c>
      <c r="AN1397" s="3">
        <f t="shared" si="45"/>
        <v>3</v>
      </c>
      <c r="AO1397" s="3">
        <v>4</v>
      </c>
      <c r="AP1397" s="3">
        <v>0</v>
      </c>
      <c r="AR1397" s="2" t="s">
        <v>2045</v>
      </c>
    </row>
    <row r="1398" spans="1:44" ht="12.75" customHeight="1">
      <c r="A1398" s="5">
        <v>41031</v>
      </c>
      <c r="C1398" s="2" t="s">
        <v>297</v>
      </c>
      <c r="E1398" s="18">
        <v>0</v>
      </c>
      <c r="F1398" s="18">
        <v>0</v>
      </c>
      <c r="G1398" s="18">
        <v>0</v>
      </c>
      <c r="H1398" s="18">
        <v>3</v>
      </c>
      <c r="I1398" s="18">
        <v>0</v>
      </c>
      <c r="T1398" s="3">
        <f t="shared" si="44"/>
        <v>3</v>
      </c>
      <c r="U1398" s="3">
        <v>4</v>
      </c>
      <c r="V1398" s="3">
        <v>4</v>
      </c>
      <c r="X1398" s="2" t="s">
        <v>2029</v>
      </c>
      <c r="Y1398" s="18">
        <v>2</v>
      </c>
      <c r="Z1398" s="18">
        <v>2</v>
      </c>
      <c r="AA1398" s="18">
        <v>0</v>
      </c>
      <c r="AB1398" s="18">
        <v>3</v>
      </c>
      <c r="AC1398" s="18">
        <v>6</v>
      </c>
      <c r="AN1398" s="3">
        <f t="shared" si="45"/>
        <v>13</v>
      </c>
      <c r="AO1398" s="3">
        <v>10</v>
      </c>
      <c r="AP1398" s="3">
        <v>1</v>
      </c>
      <c r="AR1398" s="2" t="s">
        <v>2032</v>
      </c>
    </row>
    <row r="1399" spans="1:44" ht="12.75" customHeight="1">
      <c r="A1399" s="5">
        <v>41372</v>
      </c>
      <c r="B1399" s="2" t="s">
        <v>152</v>
      </c>
      <c r="C1399" s="2" t="s">
        <v>297</v>
      </c>
      <c r="E1399" s="18">
        <v>0</v>
      </c>
      <c r="F1399" s="18">
        <v>0</v>
      </c>
      <c r="G1399" s="18">
        <v>3</v>
      </c>
      <c r="H1399" s="18">
        <v>0</v>
      </c>
      <c r="I1399" s="18">
        <v>0</v>
      </c>
      <c r="J1399" s="18">
        <v>1</v>
      </c>
      <c r="K1399" s="18">
        <v>0</v>
      </c>
      <c r="T1399" s="3">
        <f t="shared" si="44"/>
        <v>4</v>
      </c>
      <c r="U1399" s="3">
        <v>3</v>
      </c>
      <c r="V1399" s="3">
        <v>0</v>
      </c>
      <c r="X1399" s="2" t="s">
        <v>2108</v>
      </c>
      <c r="Y1399" s="18">
        <v>0</v>
      </c>
      <c r="Z1399" s="18">
        <v>2</v>
      </c>
      <c r="AA1399" s="18">
        <v>1</v>
      </c>
      <c r="AB1399" s="18">
        <v>0</v>
      </c>
      <c r="AC1399" s="18">
        <v>0</v>
      </c>
      <c r="AD1399" s="18">
        <v>1</v>
      </c>
      <c r="AE1399" s="18">
        <v>1</v>
      </c>
      <c r="AN1399" s="3">
        <f t="shared" si="45"/>
        <v>5</v>
      </c>
      <c r="AO1399" s="3">
        <v>9</v>
      </c>
      <c r="AP1399" s="3">
        <v>2</v>
      </c>
      <c r="AR1399" s="2" t="s">
        <v>2109</v>
      </c>
    </row>
    <row r="1400" spans="1:44" ht="12.75" customHeight="1">
      <c r="A1400" s="5">
        <v>41397</v>
      </c>
      <c r="C1400" s="2" t="s">
        <v>297</v>
      </c>
      <c r="E1400" s="18">
        <v>0</v>
      </c>
      <c r="F1400" s="18">
        <v>0</v>
      </c>
      <c r="G1400" s="18">
        <v>2</v>
      </c>
      <c r="H1400" s="18">
        <v>0</v>
      </c>
      <c r="I1400" s="18">
        <v>0</v>
      </c>
      <c r="J1400" s="18">
        <v>0</v>
      </c>
      <c r="K1400" s="18">
        <v>1</v>
      </c>
      <c r="T1400" s="3">
        <f t="shared" si="44"/>
        <v>3</v>
      </c>
      <c r="U1400" s="3">
        <v>8</v>
      </c>
      <c r="V1400" s="3">
        <v>6</v>
      </c>
      <c r="X1400" s="2" t="s">
        <v>2077</v>
      </c>
      <c r="Y1400" s="18">
        <v>0</v>
      </c>
      <c r="Z1400" s="18">
        <v>0</v>
      </c>
      <c r="AA1400" s="18">
        <v>0</v>
      </c>
      <c r="AB1400" s="18">
        <v>2</v>
      </c>
      <c r="AC1400" s="18">
        <v>5</v>
      </c>
      <c r="AD1400" s="18">
        <v>1</v>
      </c>
      <c r="AE1400" s="18">
        <v>2</v>
      </c>
      <c r="AN1400" s="3">
        <f t="shared" si="45"/>
        <v>10</v>
      </c>
      <c r="AO1400" s="3">
        <v>7</v>
      </c>
      <c r="AP1400" s="3">
        <v>1</v>
      </c>
      <c r="AR1400" s="2" t="s">
        <v>2091</v>
      </c>
    </row>
    <row r="1401" spans="1:44" ht="12.75" customHeight="1">
      <c r="A1401" s="5">
        <v>41755</v>
      </c>
      <c r="C1401" s="2" t="s">
        <v>297</v>
      </c>
      <c r="E1401" s="18">
        <v>0</v>
      </c>
      <c r="F1401" s="18">
        <v>0</v>
      </c>
      <c r="G1401" s="18">
        <v>0</v>
      </c>
      <c r="H1401" s="18">
        <v>1</v>
      </c>
      <c r="I1401" s="18">
        <v>0</v>
      </c>
      <c r="J1401" s="18">
        <v>0</v>
      </c>
      <c r="K1401" s="18">
        <v>1</v>
      </c>
      <c r="L1401" s="18">
        <v>0</v>
      </c>
      <c r="T1401" s="3">
        <f t="shared" si="44"/>
        <v>2</v>
      </c>
      <c r="U1401" s="3">
        <v>4</v>
      </c>
      <c r="V1401" s="3">
        <v>2</v>
      </c>
      <c r="X1401" s="2" t="s">
        <v>2070</v>
      </c>
      <c r="Y1401" s="18">
        <v>1</v>
      </c>
      <c r="Z1401" s="18">
        <v>0</v>
      </c>
      <c r="AA1401" s="18">
        <v>0</v>
      </c>
      <c r="AB1401" s="18">
        <v>0</v>
      </c>
      <c r="AC1401" s="18">
        <v>0</v>
      </c>
      <c r="AD1401" s="18">
        <v>1</v>
      </c>
      <c r="AE1401" s="18">
        <v>0</v>
      </c>
      <c r="AF1401" s="18">
        <v>1</v>
      </c>
      <c r="AN1401" s="3">
        <f t="shared" si="45"/>
        <v>3</v>
      </c>
      <c r="AO1401" s="3">
        <v>10</v>
      </c>
      <c r="AP1401" s="3">
        <v>0</v>
      </c>
      <c r="AR1401" s="2" t="s">
        <v>2071</v>
      </c>
    </row>
    <row r="1402" spans="1:44" ht="12.75" customHeight="1">
      <c r="A1402" s="5">
        <v>41773</v>
      </c>
      <c r="B1402" s="2" t="s">
        <v>152</v>
      </c>
      <c r="C1402" s="2" t="s">
        <v>297</v>
      </c>
      <c r="E1402" s="18">
        <v>1</v>
      </c>
      <c r="F1402" s="18">
        <v>0</v>
      </c>
      <c r="G1402" s="18">
        <v>1</v>
      </c>
      <c r="H1402" s="18">
        <v>1</v>
      </c>
      <c r="I1402" s="18">
        <v>1</v>
      </c>
      <c r="J1402" s="18">
        <v>0</v>
      </c>
      <c r="K1402" s="18">
        <v>1</v>
      </c>
      <c r="T1402" s="3">
        <f t="shared" si="44"/>
        <v>5</v>
      </c>
      <c r="U1402" s="3">
        <v>10</v>
      </c>
      <c r="V1402" s="3">
        <v>3</v>
      </c>
      <c r="X1402" s="2" t="s">
        <v>2049</v>
      </c>
      <c r="Y1402" s="18">
        <v>2</v>
      </c>
      <c r="Z1402" s="18">
        <v>0</v>
      </c>
      <c r="AA1402" s="18">
        <v>0</v>
      </c>
      <c r="AB1402" s="18">
        <v>0</v>
      </c>
      <c r="AC1402" s="18">
        <v>2</v>
      </c>
      <c r="AD1402" s="18">
        <v>2</v>
      </c>
      <c r="AE1402" s="18" t="s">
        <v>162</v>
      </c>
      <c r="AN1402" s="3">
        <f t="shared" si="45"/>
        <v>6</v>
      </c>
      <c r="AO1402" s="3">
        <v>13</v>
      </c>
      <c r="AP1402" s="3">
        <v>1</v>
      </c>
      <c r="AR1402" s="2" t="s">
        <v>2048</v>
      </c>
    </row>
    <row r="1403" spans="1:44" ht="12.75" customHeight="1">
      <c r="A1403" s="5">
        <v>42096</v>
      </c>
      <c r="B1403" s="2" t="s">
        <v>152</v>
      </c>
      <c r="C1403" s="2" t="s">
        <v>297</v>
      </c>
      <c r="E1403" s="18">
        <v>0</v>
      </c>
      <c r="F1403" s="18">
        <v>4</v>
      </c>
      <c r="G1403" s="18">
        <v>0</v>
      </c>
      <c r="H1403" s="18">
        <v>0</v>
      </c>
      <c r="I1403" s="18">
        <v>0</v>
      </c>
      <c r="J1403" s="18">
        <v>0</v>
      </c>
      <c r="K1403" s="18">
        <v>2</v>
      </c>
      <c r="T1403" s="3">
        <f t="shared" si="44"/>
        <v>6</v>
      </c>
      <c r="U1403" s="3">
        <v>5</v>
      </c>
      <c r="V1403" s="3">
        <v>4</v>
      </c>
      <c r="X1403" s="2" t="s">
        <v>2119</v>
      </c>
      <c r="Y1403" s="18">
        <v>0</v>
      </c>
      <c r="Z1403" s="18">
        <v>0</v>
      </c>
      <c r="AA1403" s="18">
        <v>0</v>
      </c>
      <c r="AB1403" s="18">
        <v>1</v>
      </c>
      <c r="AC1403" s="18">
        <v>0</v>
      </c>
      <c r="AD1403" s="18">
        <v>0</v>
      </c>
      <c r="AE1403" s="18">
        <v>0</v>
      </c>
      <c r="AN1403" s="3">
        <f t="shared" si="45"/>
        <v>1</v>
      </c>
      <c r="AO1403" s="3">
        <v>5</v>
      </c>
      <c r="AP1403" s="3">
        <v>2</v>
      </c>
      <c r="AR1403" s="2" t="s">
        <v>2120</v>
      </c>
    </row>
    <row r="1404" spans="1:44" ht="12.75" customHeight="1">
      <c r="A1404" s="5">
        <v>42122</v>
      </c>
      <c r="C1404" s="2" t="s">
        <v>297</v>
      </c>
      <c r="E1404" s="18">
        <v>0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3</v>
      </c>
      <c r="T1404" s="3">
        <f t="shared" si="44"/>
        <v>3</v>
      </c>
      <c r="U1404" s="3">
        <v>5</v>
      </c>
      <c r="V1404" s="3">
        <v>2</v>
      </c>
      <c r="X1404" s="2" t="s">
        <v>2124</v>
      </c>
      <c r="Y1404" s="18">
        <v>0</v>
      </c>
      <c r="Z1404" s="18">
        <v>0</v>
      </c>
      <c r="AA1404" s="18">
        <v>0</v>
      </c>
      <c r="AB1404" s="18">
        <v>0</v>
      </c>
      <c r="AC1404" s="18">
        <v>0</v>
      </c>
      <c r="AD1404" s="18">
        <v>2</v>
      </c>
      <c r="AE1404" s="18">
        <v>0</v>
      </c>
      <c r="AN1404" s="3">
        <f t="shared" si="45"/>
        <v>2</v>
      </c>
      <c r="AO1404" s="3">
        <v>8</v>
      </c>
      <c r="AP1404" s="3">
        <v>2</v>
      </c>
      <c r="AR1404" s="2" t="s">
        <v>2125</v>
      </c>
    </row>
    <row r="1405" spans="1:44" ht="12.75" customHeight="1">
      <c r="A1405" s="5">
        <v>42483</v>
      </c>
      <c r="B1405" s="2" t="s">
        <v>152</v>
      </c>
      <c r="C1405" s="2" t="s">
        <v>297</v>
      </c>
      <c r="E1405" s="18">
        <v>1</v>
      </c>
      <c r="F1405" s="18">
        <v>0</v>
      </c>
      <c r="G1405" s="18">
        <v>0</v>
      </c>
      <c r="H1405" s="18">
        <v>1</v>
      </c>
      <c r="I1405" s="18">
        <v>0</v>
      </c>
      <c r="J1405" s="18">
        <v>3</v>
      </c>
      <c r="K1405" s="18">
        <v>2</v>
      </c>
      <c r="T1405" s="3">
        <f t="shared" si="44"/>
        <v>7</v>
      </c>
      <c r="U1405" s="3">
        <v>11</v>
      </c>
      <c r="V1405" s="3">
        <v>0</v>
      </c>
      <c r="X1405" s="2" t="s">
        <v>2065</v>
      </c>
      <c r="Y1405" s="18">
        <v>0</v>
      </c>
      <c r="Z1405" s="18">
        <v>0</v>
      </c>
      <c r="AA1405" s="18">
        <v>0</v>
      </c>
      <c r="AB1405" s="18">
        <v>0</v>
      </c>
      <c r="AC1405" s="18">
        <v>0</v>
      </c>
      <c r="AD1405" s="18">
        <v>0</v>
      </c>
      <c r="AE1405" s="18">
        <v>0</v>
      </c>
      <c r="AN1405" s="3">
        <f t="shared" si="45"/>
        <v>0</v>
      </c>
      <c r="AO1405" s="3">
        <v>3</v>
      </c>
      <c r="AP1405" s="3">
        <v>2</v>
      </c>
      <c r="AR1405" s="2" t="s">
        <v>2148</v>
      </c>
    </row>
    <row r="1406" spans="1:44" ht="12.75" customHeight="1">
      <c r="A1406" s="5">
        <v>42494</v>
      </c>
      <c r="C1406" s="2" t="s">
        <v>297</v>
      </c>
      <c r="E1406" s="18">
        <v>1</v>
      </c>
      <c r="F1406" s="18">
        <v>0</v>
      </c>
      <c r="G1406" s="18">
        <v>5</v>
      </c>
      <c r="H1406" s="18">
        <v>0</v>
      </c>
      <c r="I1406" s="18">
        <v>0</v>
      </c>
      <c r="J1406" s="18">
        <v>0</v>
      </c>
      <c r="K1406" s="18" t="s">
        <v>162</v>
      </c>
      <c r="T1406" s="3">
        <f t="shared" si="44"/>
        <v>6</v>
      </c>
      <c r="U1406" s="3">
        <v>9</v>
      </c>
      <c r="V1406" s="3">
        <v>2</v>
      </c>
      <c r="X1406" s="2" t="s">
        <v>2065</v>
      </c>
      <c r="Y1406" s="18">
        <v>0</v>
      </c>
      <c r="Z1406" s="18">
        <v>0</v>
      </c>
      <c r="AA1406" s="18">
        <v>2</v>
      </c>
      <c r="AB1406" s="18">
        <v>2</v>
      </c>
      <c r="AC1406" s="18">
        <v>0</v>
      </c>
      <c r="AD1406" s="18">
        <v>0</v>
      </c>
      <c r="AE1406" s="18">
        <v>0</v>
      </c>
      <c r="AN1406" s="3">
        <f t="shared" si="45"/>
        <v>4</v>
      </c>
      <c r="AO1406" s="3">
        <v>8</v>
      </c>
      <c r="AP1406" s="3">
        <v>2</v>
      </c>
      <c r="AR1406" s="2" t="s">
        <v>2163</v>
      </c>
    </row>
    <row r="1407" spans="1:44" ht="12.75" customHeight="1">
      <c r="A1407" s="5">
        <v>42850</v>
      </c>
      <c r="C1407" s="2" t="s">
        <v>297</v>
      </c>
      <c r="E1407" s="18">
        <v>4</v>
      </c>
      <c r="F1407" s="18">
        <v>1</v>
      </c>
      <c r="G1407" s="18">
        <v>1</v>
      </c>
      <c r="H1407" s="18">
        <v>0</v>
      </c>
      <c r="I1407" s="18">
        <v>0</v>
      </c>
      <c r="J1407" s="18">
        <v>1</v>
      </c>
      <c r="K1407" s="18" t="s">
        <v>162</v>
      </c>
      <c r="T1407" s="3">
        <f t="shared" si="44"/>
        <v>7</v>
      </c>
      <c r="U1407" s="3">
        <v>9</v>
      </c>
      <c r="V1407" s="3">
        <v>2</v>
      </c>
      <c r="X1407" s="2" t="s">
        <v>2189</v>
      </c>
      <c r="Y1407" s="18">
        <v>0</v>
      </c>
      <c r="Z1407" s="18">
        <v>0</v>
      </c>
      <c r="AA1407" s="18">
        <v>0</v>
      </c>
      <c r="AB1407" s="18">
        <v>2</v>
      </c>
      <c r="AC1407" s="18">
        <v>0</v>
      </c>
      <c r="AD1407" s="18">
        <v>3</v>
      </c>
      <c r="AE1407" s="18">
        <v>0</v>
      </c>
      <c r="AN1407" s="3">
        <f t="shared" si="45"/>
        <v>5</v>
      </c>
      <c r="AO1407" s="3">
        <v>6</v>
      </c>
      <c r="AP1407" s="3">
        <v>2</v>
      </c>
      <c r="AR1407" s="2" t="s">
        <v>2190</v>
      </c>
    </row>
    <row r="1408" spans="1:44" ht="12.75" customHeight="1">
      <c r="A1408" s="5">
        <v>42857</v>
      </c>
      <c r="B1408" s="2" t="s">
        <v>152</v>
      </c>
      <c r="C1408" s="2" t="s">
        <v>297</v>
      </c>
      <c r="E1408" s="18">
        <v>0</v>
      </c>
      <c r="F1408" s="18">
        <v>0</v>
      </c>
      <c r="G1408" s="18">
        <v>0</v>
      </c>
      <c r="H1408" s="18">
        <v>0</v>
      </c>
      <c r="I1408" s="18">
        <v>0</v>
      </c>
      <c r="J1408" s="18">
        <v>3</v>
      </c>
      <c r="K1408" s="18">
        <v>0</v>
      </c>
      <c r="T1408" s="3">
        <f t="shared" si="44"/>
        <v>3</v>
      </c>
      <c r="U1408" s="3">
        <v>5</v>
      </c>
      <c r="V1408" s="3">
        <v>2</v>
      </c>
      <c r="X1408" s="2" t="s">
        <v>2161</v>
      </c>
      <c r="Y1408" s="18">
        <v>0</v>
      </c>
      <c r="Z1408" s="18">
        <v>0</v>
      </c>
      <c r="AA1408" s="18">
        <v>1</v>
      </c>
      <c r="AB1408" s="18">
        <v>0</v>
      </c>
      <c r="AC1408" s="18">
        <v>0</v>
      </c>
      <c r="AD1408" s="18">
        <v>0</v>
      </c>
      <c r="AE1408" s="18">
        <v>0</v>
      </c>
      <c r="AN1408" s="3">
        <f t="shared" si="45"/>
        <v>1</v>
      </c>
      <c r="AO1408" s="3">
        <v>7</v>
      </c>
      <c r="AP1408" s="3">
        <v>3</v>
      </c>
      <c r="AR1408" s="2" t="s">
        <v>2185</v>
      </c>
    </row>
    <row r="1409" spans="1:44" ht="12.75" customHeight="1">
      <c r="A1409" s="5">
        <v>43204</v>
      </c>
      <c r="B1409" s="2" t="s">
        <v>152</v>
      </c>
      <c r="C1409" s="2" t="s">
        <v>297</v>
      </c>
      <c r="E1409" s="18">
        <v>0</v>
      </c>
      <c r="F1409" s="18">
        <v>0</v>
      </c>
      <c r="G1409" s="18">
        <v>4</v>
      </c>
      <c r="H1409" s="18">
        <v>0</v>
      </c>
      <c r="I1409" s="18">
        <v>4</v>
      </c>
      <c r="J1409" s="18">
        <v>0</v>
      </c>
      <c r="K1409" s="18">
        <v>0</v>
      </c>
      <c r="T1409" s="3">
        <f t="shared" si="44"/>
        <v>8</v>
      </c>
      <c r="U1409" s="3">
        <v>9</v>
      </c>
      <c r="V1409" s="3">
        <v>5</v>
      </c>
      <c r="X1409" s="2" t="s">
        <v>2316</v>
      </c>
      <c r="Y1409" s="18">
        <v>0</v>
      </c>
      <c r="Z1409" s="18">
        <v>0</v>
      </c>
      <c r="AA1409" s="18">
        <v>1</v>
      </c>
      <c r="AB1409" s="18">
        <v>1</v>
      </c>
      <c r="AC1409" s="18">
        <v>0</v>
      </c>
      <c r="AD1409" s="18">
        <v>5</v>
      </c>
      <c r="AE1409" s="18">
        <v>0</v>
      </c>
      <c r="AN1409" s="3">
        <f t="shared" si="45"/>
        <v>7</v>
      </c>
      <c r="AO1409" s="3">
        <v>9</v>
      </c>
      <c r="AP1409" s="3">
        <v>5</v>
      </c>
      <c r="AR1409" s="2" t="s">
        <v>2317</v>
      </c>
    </row>
    <row r="1410" spans="1:44" ht="12.75" customHeight="1">
      <c r="A1410" s="5">
        <v>43220</v>
      </c>
      <c r="C1410" s="2" t="s">
        <v>297</v>
      </c>
      <c r="E1410" s="18">
        <v>13</v>
      </c>
      <c r="F1410" s="18">
        <v>3</v>
      </c>
      <c r="G1410" s="18" t="s">
        <v>162</v>
      </c>
      <c r="T1410" s="3">
        <f t="shared" si="44"/>
        <v>16</v>
      </c>
      <c r="U1410" s="3">
        <v>7</v>
      </c>
      <c r="V1410" s="3">
        <v>0</v>
      </c>
      <c r="X1410" s="2" t="s">
        <v>2307</v>
      </c>
      <c r="Y1410" s="18">
        <v>0</v>
      </c>
      <c r="Z1410" s="18">
        <v>0</v>
      </c>
      <c r="AA1410" s="18">
        <v>1</v>
      </c>
      <c r="AN1410" s="3">
        <f t="shared" si="45"/>
        <v>1</v>
      </c>
      <c r="AO1410" s="3">
        <v>2</v>
      </c>
      <c r="AP1410" s="3">
        <v>5</v>
      </c>
      <c r="AR1410" s="2" t="s">
        <v>2306</v>
      </c>
    </row>
    <row r="1411" spans="1:44" ht="12.75" customHeight="1">
      <c r="A1411" s="5">
        <v>43561</v>
      </c>
      <c r="B1411" s="2" t="s">
        <v>152</v>
      </c>
      <c r="C1411" s="2" t="s">
        <v>297</v>
      </c>
      <c r="E1411" s="18">
        <v>1</v>
      </c>
      <c r="F1411" s="18">
        <v>0</v>
      </c>
      <c r="G1411" s="18">
        <v>0</v>
      </c>
      <c r="H1411" s="18">
        <v>0</v>
      </c>
      <c r="I1411" s="18">
        <v>0</v>
      </c>
      <c r="J1411" s="18">
        <v>0</v>
      </c>
      <c r="K1411" s="18">
        <v>0</v>
      </c>
      <c r="L1411" s="18">
        <v>1</v>
      </c>
      <c r="M1411" s="18">
        <v>0</v>
      </c>
      <c r="T1411" s="3">
        <f t="shared" si="44"/>
        <v>2</v>
      </c>
      <c r="U1411" s="3">
        <v>12</v>
      </c>
      <c r="V1411" s="3">
        <v>3</v>
      </c>
      <c r="X1411" s="2" t="s">
        <v>2296</v>
      </c>
      <c r="Y1411" s="18">
        <v>0</v>
      </c>
      <c r="Z1411" s="18">
        <v>0</v>
      </c>
      <c r="AA1411" s="18">
        <v>0</v>
      </c>
      <c r="AB1411" s="18">
        <v>0</v>
      </c>
      <c r="AC1411" s="18">
        <v>0</v>
      </c>
      <c r="AD1411" s="18">
        <v>0</v>
      </c>
      <c r="AE1411" s="18">
        <v>1</v>
      </c>
      <c r="AF1411" s="18">
        <v>1</v>
      </c>
      <c r="AG1411" s="18">
        <v>1</v>
      </c>
      <c r="AN1411" s="3">
        <f t="shared" si="45"/>
        <v>3</v>
      </c>
      <c r="AO1411" s="3">
        <v>10</v>
      </c>
      <c r="AP1411" s="3">
        <v>2</v>
      </c>
      <c r="AR1411" s="2" t="s">
        <v>2283</v>
      </c>
    </row>
    <row r="1412" spans="1:44" ht="12.75" customHeight="1">
      <c r="A1412" s="5">
        <v>43585</v>
      </c>
      <c r="C1412" s="2" t="s">
        <v>297</v>
      </c>
      <c r="E1412" s="18">
        <v>2</v>
      </c>
      <c r="F1412" s="18">
        <v>0</v>
      </c>
      <c r="G1412" s="18">
        <v>0</v>
      </c>
      <c r="H1412" s="18">
        <v>1</v>
      </c>
      <c r="I1412" s="18">
        <v>0</v>
      </c>
      <c r="J1412" s="18">
        <v>0</v>
      </c>
      <c r="T1412" s="3">
        <f t="shared" si="44"/>
        <v>3</v>
      </c>
      <c r="U1412" s="3">
        <v>7</v>
      </c>
      <c r="V1412" s="3">
        <v>3</v>
      </c>
      <c r="X1412" s="2" t="s">
        <v>2275</v>
      </c>
      <c r="Y1412" s="18">
        <v>2</v>
      </c>
      <c r="Z1412" s="18">
        <v>1</v>
      </c>
      <c r="AA1412" s="18">
        <v>0</v>
      </c>
      <c r="AB1412" s="18">
        <v>4</v>
      </c>
      <c r="AC1412" s="18">
        <v>4</v>
      </c>
      <c r="AD1412" s="18">
        <v>2</v>
      </c>
      <c r="AN1412" s="3">
        <f t="shared" si="45"/>
        <v>13</v>
      </c>
      <c r="AO1412" s="3">
        <v>11</v>
      </c>
      <c r="AP1412" s="3">
        <v>0</v>
      </c>
      <c r="AR1412" s="2" t="s">
        <v>2274</v>
      </c>
    </row>
    <row r="1413" spans="1:44" ht="12.75" customHeight="1">
      <c r="A1413" s="5">
        <v>44313</v>
      </c>
      <c r="C1413" s="2" t="s">
        <v>297</v>
      </c>
      <c r="E1413" s="18">
        <v>3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T1413" s="3">
        <f t="shared" si="44"/>
        <v>3</v>
      </c>
      <c r="U1413" s="3">
        <v>6</v>
      </c>
      <c r="V1413" s="3">
        <v>5</v>
      </c>
      <c r="X1413" s="2" t="s">
        <v>2263</v>
      </c>
      <c r="Y1413" s="18">
        <v>2</v>
      </c>
      <c r="Z1413" s="18">
        <v>3</v>
      </c>
      <c r="AA1413" s="18">
        <v>1</v>
      </c>
      <c r="AB1413" s="18">
        <v>1</v>
      </c>
      <c r="AC1413" s="18">
        <v>2</v>
      </c>
      <c r="AD1413" s="18">
        <v>3</v>
      </c>
      <c r="AE1413" s="18">
        <v>2</v>
      </c>
      <c r="AN1413" s="3">
        <f t="shared" si="45"/>
        <v>14</v>
      </c>
      <c r="AO1413" s="3">
        <v>17</v>
      </c>
      <c r="AP1413" s="3">
        <v>0</v>
      </c>
      <c r="AR1413" s="2" t="s">
        <v>2264</v>
      </c>
    </row>
    <row r="1414" spans="1:44" ht="12.75" customHeight="1">
      <c r="A1414" s="5">
        <v>44320</v>
      </c>
      <c r="B1414" s="2" t="s">
        <v>152</v>
      </c>
      <c r="C1414" s="2" t="s">
        <v>297</v>
      </c>
      <c r="E1414" s="18">
        <v>0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T1414" s="3">
        <f t="shared" si="44"/>
        <v>0</v>
      </c>
      <c r="U1414" s="3">
        <v>0</v>
      </c>
      <c r="V1414" s="3">
        <v>3</v>
      </c>
      <c r="X1414" s="2" t="s">
        <v>2226</v>
      </c>
      <c r="Y1414" s="18">
        <v>3</v>
      </c>
      <c r="Z1414" s="18">
        <v>0</v>
      </c>
      <c r="AA1414" s="18">
        <v>1</v>
      </c>
      <c r="AB1414" s="18">
        <v>2</v>
      </c>
      <c r="AC1414" s="18">
        <v>0</v>
      </c>
      <c r="AD1414" s="18">
        <v>1</v>
      </c>
      <c r="AN1414" s="3">
        <f t="shared" si="45"/>
        <v>7</v>
      </c>
      <c r="AO1414" s="3">
        <v>9</v>
      </c>
      <c r="AP1414" s="3">
        <v>0</v>
      </c>
      <c r="AR1414" s="2" t="s">
        <v>2262</v>
      </c>
    </row>
    <row r="1415" spans="1:44" ht="12.75">
      <c r="A1415" s="5">
        <v>44684</v>
      </c>
      <c r="C1415" s="2" t="s">
        <v>297</v>
      </c>
      <c r="E1415" s="18">
        <v>0</v>
      </c>
      <c r="F1415" s="18">
        <v>1</v>
      </c>
      <c r="G1415" s="18">
        <v>0</v>
      </c>
      <c r="H1415" s="18">
        <v>0</v>
      </c>
      <c r="I1415" s="18">
        <v>0</v>
      </c>
      <c r="J1415" s="18">
        <v>0</v>
      </c>
      <c r="K1415" s="18">
        <v>0</v>
      </c>
      <c r="T1415" s="3">
        <v>1</v>
      </c>
      <c r="U1415" s="3">
        <v>3</v>
      </c>
      <c r="V1415" s="3">
        <v>2</v>
      </c>
      <c r="X1415" s="2" t="s">
        <v>2351</v>
      </c>
      <c r="Y1415" s="18">
        <v>3</v>
      </c>
      <c r="Z1415" s="18">
        <v>0</v>
      </c>
      <c r="AA1415" s="18">
        <v>0</v>
      </c>
      <c r="AB1415" s="18">
        <v>5</v>
      </c>
      <c r="AC1415" s="18">
        <v>0</v>
      </c>
      <c r="AD1415" s="18">
        <v>0</v>
      </c>
      <c r="AE1415" s="18" t="s">
        <v>162</v>
      </c>
      <c r="AN1415" s="3">
        <v>8</v>
      </c>
      <c r="AO1415" s="3">
        <v>8</v>
      </c>
      <c r="AP1415" s="3">
        <v>0</v>
      </c>
      <c r="AR1415" s="2" t="s">
        <v>2352</v>
      </c>
    </row>
    <row r="1416" spans="1:44" ht="12.75">
      <c r="A1416" s="5">
        <v>44684</v>
      </c>
      <c r="C1416" s="2" t="s">
        <v>297</v>
      </c>
      <c r="E1416" s="18">
        <v>0</v>
      </c>
      <c r="F1416" s="18">
        <v>0</v>
      </c>
      <c r="G1416" s="18">
        <v>0</v>
      </c>
      <c r="H1416" s="18">
        <v>2</v>
      </c>
      <c r="I1416" s="18">
        <v>0</v>
      </c>
      <c r="J1416" s="18">
        <v>0</v>
      </c>
      <c r="K1416" s="18">
        <v>2</v>
      </c>
      <c r="T1416" s="3">
        <v>4</v>
      </c>
      <c r="U1416" s="3">
        <v>6</v>
      </c>
      <c r="V1416" s="3">
        <v>5</v>
      </c>
      <c r="X1416" s="2" t="s">
        <v>2354</v>
      </c>
      <c r="Y1416" s="18">
        <v>5</v>
      </c>
      <c r="Z1416" s="18">
        <v>0</v>
      </c>
      <c r="AA1416" s="18">
        <v>2</v>
      </c>
      <c r="AB1416" s="18">
        <v>1</v>
      </c>
      <c r="AC1416" s="18">
        <v>3</v>
      </c>
      <c r="AD1416" s="18">
        <v>0</v>
      </c>
      <c r="AE1416" s="18">
        <v>0</v>
      </c>
      <c r="AN1416" s="3">
        <v>11</v>
      </c>
      <c r="AO1416" s="3">
        <v>12</v>
      </c>
      <c r="AP1416" s="3">
        <v>1</v>
      </c>
      <c r="AR1416" s="2" t="s">
        <v>2353</v>
      </c>
    </row>
    <row r="1417" spans="1:44" ht="12.75" customHeight="1">
      <c r="A1417" s="4">
        <f>DATE(86,6,13)</f>
        <v>31576</v>
      </c>
      <c r="B1417" s="2" t="s">
        <v>239</v>
      </c>
      <c r="C1417" s="2" t="s">
        <v>390</v>
      </c>
      <c r="D1417" s="2" t="s">
        <v>260</v>
      </c>
      <c r="E1417" s="18">
        <v>0</v>
      </c>
      <c r="F1417" s="18">
        <v>0</v>
      </c>
      <c r="G1417" s="18">
        <v>1</v>
      </c>
      <c r="H1417" s="18">
        <v>0</v>
      </c>
      <c r="I1417" s="18">
        <v>0</v>
      </c>
      <c r="J1417" s="18">
        <v>0</v>
      </c>
      <c r="K1417" s="18">
        <v>1</v>
      </c>
      <c r="T1417" s="3">
        <v>2</v>
      </c>
      <c r="U1417" s="3">
        <v>9</v>
      </c>
      <c r="V1417" s="3">
        <v>4</v>
      </c>
      <c r="X1417" s="2" t="s">
        <v>1548</v>
      </c>
      <c r="Y1417" s="18">
        <v>0</v>
      </c>
      <c r="Z1417" s="18">
        <v>2</v>
      </c>
      <c r="AA1417" s="18">
        <v>0</v>
      </c>
      <c r="AB1417" s="18">
        <v>1</v>
      </c>
      <c r="AC1417" s="18">
        <v>0</v>
      </c>
      <c r="AD1417" s="18">
        <v>7</v>
      </c>
      <c r="AE1417" s="18" t="s">
        <v>162</v>
      </c>
      <c r="AN1417" s="3">
        <v>10</v>
      </c>
      <c r="AO1417" s="3">
        <v>9</v>
      </c>
      <c r="AP1417" s="3">
        <v>0</v>
      </c>
      <c r="AR1417" s="2" t="s">
        <v>1554</v>
      </c>
    </row>
    <row r="1418" spans="1:44" ht="12.75" customHeight="1">
      <c r="A1418" s="4">
        <f>DATE(80,6,10)</f>
        <v>29382</v>
      </c>
      <c r="B1418" s="2" t="s">
        <v>239</v>
      </c>
      <c r="C1418" s="2" t="s">
        <v>387</v>
      </c>
      <c r="D1418" s="2" t="s">
        <v>260</v>
      </c>
      <c r="E1418" s="18">
        <v>0</v>
      </c>
      <c r="F1418" s="18">
        <v>0</v>
      </c>
      <c r="G1418" s="18">
        <v>1</v>
      </c>
      <c r="H1418" s="18">
        <v>0</v>
      </c>
      <c r="I1418" s="18">
        <v>0</v>
      </c>
      <c r="J1418" s="18">
        <v>0</v>
      </c>
      <c r="K1418" s="18">
        <v>4</v>
      </c>
      <c r="T1418" s="3">
        <v>5</v>
      </c>
      <c r="U1418" s="3">
        <v>7</v>
      </c>
      <c r="V1418" s="3">
        <v>0</v>
      </c>
      <c r="X1418" s="2" t="s">
        <v>1190</v>
      </c>
      <c r="Y1418" s="18">
        <v>4</v>
      </c>
      <c r="Z1418" s="18">
        <v>0</v>
      </c>
      <c r="AA1418" s="18">
        <v>2</v>
      </c>
      <c r="AB1418" s="18">
        <v>1</v>
      </c>
      <c r="AC1418" s="18">
        <v>0</v>
      </c>
      <c r="AD1418" s="18">
        <v>1</v>
      </c>
      <c r="AE1418" s="18">
        <v>1</v>
      </c>
      <c r="AN1418" s="3">
        <v>9</v>
      </c>
      <c r="AO1418" s="3">
        <v>13</v>
      </c>
      <c r="AP1418" s="3">
        <v>1</v>
      </c>
      <c r="AR1418" s="2" t="s">
        <v>1311</v>
      </c>
    </row>
    <row r="1419" spans="1:44" ht="12.75" customHeight="1">
      <c r="A1419" s="4">
        <f>DATE(84,3,29)</f>
        <v>30770</v>
      </c>
      <c r="B1419" s="2" t="s">
        <v>152</v>
      </c>
      <c r="C1419" s="2" t="s">
        <v>1442</v>
      </c>
      <c r="E1419" s="18">
        <v>0</v>
      </c>
      <c r="F1419" s="18">
        <v>5</v>
      </c>
      <c r="G1419" s="18">
        <v>0</v>
      </c>
      <c r="H1419" s="18">
        <v>0</v>
      </c>
      <c r="I1419" s="18">
        <v>0</v>
      </c>
      <c r="J1419" s="18">
        <v>0</v>
      </c>
      <c r="K1419" s="18">
        <v>4</v>
      </c>
      <c r="T1419" s="3">
        <v>9</v>
      </c>
      <c r="U1419" s="3">
        <v>9</v>
      </c>
      <c r="V1419" s="3">
        <v>3</v>
      </c>
      <c r="X1419" s="2" t="s">
        <v>1443</v>
      </c>
      <c r="Y1419" s="18">
        <v>0</v>
      </c>
      <c r="Z1419" s="18">
        <v>2</v>
      </c>
      <c r="AA1419" s="18">
        <v>0</v>
      </c>
      <c r="AB1419" s="18">
        <v>0</v>
      </c>
      <c r="AC1419" s="18">
        <v>0</v>
      </c>
      <c r="AD1419" s="18">
        <v>0</v>
      </c>
      <c r="AE1419" s="18">
        <v>0</v>
      </c>
      <c r="AN1419" s="3">
        <v>2</v>
      </c>
      <c r="AO1419" s="3">
        <v>0</v>
      </c>
      <c r="AP1419" s="3">
        <v>6</v>
      </c>
      <c r="AR1419" s="2" t="s">
        <v>314</v>
      </c>
    </row>
    <row r="1420" spans="1:44" ht="12.75" customHeight="1">
      <c r="A1420" s="4">
        <f>DATE(87,3,27)</f>
        <v>31863</v>
      </c>
      <c r="B1420" s="2" t="s">
        <v>152</v>
      </c>
      <c r="C1420" s="2" t="s">
        <v>1442</v>
      </c>
      <c r="E1420" s="18">
        <v>0</v>
      </c>
      <c r="F1420" s="18">
        <v>2</v>
      </c>
      <c r="G1420" s="18">
        <v>4</v>
      </c>
      <c r="H1420" s="18">
        <v>1</v>
      </c>
      <c r="I1420" s="18">
        <v>4</v>
      </c>
      <c r="J1420" s="18">
        <v>0</v>
      </c>
      <c r="K1420" s="18">
        <v>0</v>
      </c>
      <c r="T1420" s="3">
        <v>11</v>
      </c>
      <c r="U1420" s="3">
        <v>11</v>
      </c>
      <c r="V1420" s="3">
        <v>0</v>
      </c>
      <c r="X1420" s="2" t="s">
        <v>1559</v>
      </c>
      <c r="Y1420" s="18">
        <v>0</v>
      </c>
      <c r="Z1420" s="18">
        <v>0</v>
      </c>
      <c r="AA1420" s="18">
        <v>1</v>
      </c>
      <c r="AB1420" s="18">
        <v>3</v>
      </c>
      <c r="AC1420" s="18">
        <v>0</v>
      </c>
      <c r="AD1420" s="18">
        <v>0</v>
      </c>
      <c r="AE1420" s="18">
        <v>1</v>
      </c>
      <c r="AN1420" s="3">
        <v>5</v>
      </c>
      <c r="AO1420" s="3">
        <v>9</v>
      </c>
      <c r="AP1420" s="3">
        <v>6</v>
      </c>
      <c r="AR1420" s="2" t="s">
        <v>1560</v>
      </c>
    </row>
    <row r="1421" spans="1:44" ht="12.75" customHeight="1">
      <c r="A1421" s="4">
        <f>DATE(77,6,10)</f>
        <v>28286</v>
      </c>
      <c r="B1421" s="2" t="s">
        <v>239</v>
      </c>
      <c r="C1421" s="2" t="s">
        <v>259</v>
      </c>
      <c r="D1421" s="2" t="s">
        <v>260</v>
      </c>
      <c r="E1421" s="18">
        <v>0</v>
      </c>
      <c r="F1421" s="18">
        <v>0</v>
      </c>
      <c r="G1421" s="18">
        <v>0</v>
      </c>
      <c r="H1421" s="18">
        <v>0</v>
      </c>
      <c r="I1421" s="18">
        <v>0</v>
      </c>
      <c r="J1421" s="18">
        <v>1</v>
      </c>
      <c r="K1421" s="18">
        <v>0</v>
      </c>
      <c r="T1421" s="3">
        <v>1</v>
      </c>
      <c r="U1421" s="3">
        <v>1</v>
      </c>
      <c r="V1421" s="3">
        <v>2</v>
      </c>
      <c r="X1421" s="2" t="s">
        <v>1064</v>
      </c>
      <c r="Y1421" s="18">
        <v>0</v>
      </c>
      <c r="Z1421" s="18">
        <v>0</v>
      </c>
      <c r="AA1421" s="18">
        <v>0</v>
      </c>
      <c r="AB1421" s="18">
        <v>1</v>
      </c>
      <c r="AC1421" s="18">
        <v>0</v>
      </c>
      <c r="AD1421" s="18">
        <v>0</v>
      </c>
      <c r="AE1421" s="18">
        <v>3</v>
      </c>
      <c r="AN1421" s="3">
        <v>4</v>
      </c>
      <c r="AO1421" s="3">
        <v>7</v>
      </c>
      <c r="AP1421" s="3">
        <v>2</v>
      </c>
      <c r="AR1421" s="2" t="s">
        <v>1144</v>
      </c>
    </row>
    <row r="1422" spans="1:44" ht="12.75" customHeight="1">
      <c r="A1422" s="5">
        <v>37026</v>
      </c>
      <c r="C1422" s="2" t="s">
        <v>259</v>
      </c>
      <c r="E1422" s="18">
        <v>0</v>
      </c>
      <c r="F1422" s="18">
        <v>0</v>
      </c>
      <c r="G1422" s="18">
        <v>0</v>
      </c>
      <c r="H1422" s="18">
        <v>0</v>
      </c>
      <c r="I1422" s="18">
        <v>1</v>
      </c>
      <c r="J1422" s="18">
        <v>0</v>
      </c>
      <c r="K1422" s="18">
        <v>0</v>
      </c>
      <c r="L1422" s="18">
        <v>1</v>
      </c>
      <c r="T1422" s="3">
        <f>SUM(E1422:S1422)</f>
        <v>2</v>
      </c>
      <c r="U1422" s="3">
        <v>10</v>
      </c>
      <c r="V1422" s="3">
        <v>0</v>
      </c>
      <c r="X1422" s="2" t="s">
        <v>118</v>
      </c>
      <c r="Y1422" s="18">
        <v>0</v>
      </c>
      <c r="Z1422" s="18">
        <v>0</v>
      </c>
      <c r="AA1422" s="18">
        <v>1</v>
      </c>
      <c r="AB1422" s="18">
        <v>0</v>
      </c>
      <c r="AC1422" s="18">
        <v>0</v>
      </c>
      <c r="AD1422" s="18">
        <v>0</v>
      </c>
      <c r="AE1422" s="18">
        <v>0</v>
      </c>
      <c r="AF1422" s="18">
        <v>2</v>
      </c>
      <c r="AN1422" s="3">
        <f>SUM(Y1422:AM1422)</f>
        <v>3</v>
      </c>
      <c r="AO1422" s="3">
        <v>10</v>
      </c>
      <c r="AP1422" s="3">
        <v>4</v>
      </c>
      <c r="AR1422" s="2" t="s">
        <v>119</v>
      </c>
    </row>
    <row r="1423" spans="1:44" ht="12.75" customHeight="1">
      <c r="A1423" s="8">
        <v>37391</v>
      </c>
      <c r="B1423" s="2" t="s">
        <v>152</v>
      </c>
      <c r="C1423" s="2" t="s">
        <v>259</v>
      </c>
      <c r="E1423" s="18">
        <v>0</v>
      </c>
      <c r="F1423" s="18">
        <v>0</v>
      </c>
      <c r="G1423" s="18">
        <v>1</v>
      </c>
      <c r="H1423" s="18">
        <v>1</v>
      </c>
      <c r="I1423" s="18">
        <v>1</v>
      </c>
      <c r="J1423" s="18">
        <v>0</v>
      </c>
      <c r="K1423" s="18">
        <v>3</v>
      </c>
      <c r="T1423" s="3">
        <f>SUM(E1423:S1423)</f>
        <v>6</v>
      </c>
      <c r="U1423" s="3">
        <v>9</v>
      </c>
      <c r="V1423" s="3">
        <v>2</v>
      </c>
      <c r="X1423" s="2" t="s">
        <v>1112</v>
      </c>
      <c r="Y1423" s="18">
        <v>3</v>
      </c>
      <c r="Z1423" s="18">
        <v>0</v>
      </c>
      <c r="AA1423" s="18">
        <v>1</v>
      </c>
      <c r="AB1423" s="18">
        <v>0</v>
      </c>
      <c r="AC1423" s="18">
        <v>1</v>
      </c>
      <c r="AD1423" s="18">
        <v>1</v>
      </c>
      <c r="AE1423" s="18">
        <v>1</v>
      </c>
      <c r="AN1423" s="3">
        <f>SUM(Y1423:AM1423)</f>
        <v>7</v>
      </c>
      <c r="AO1423" s="3">
        <v>9</v>
      </c>
      <c r="AP1423" s="3">
        <v>3</v>
      </c>
      <c r="AR1423" s="2" t="s">
        <v>1120</v>
      </c>
    </row>
    <row r="1424" spans="1:44" ht="12.75" customHeight="1">
      <c r="A1424" s="8">
        <v>37756</v>
      </c>
      <c r="C1424" s="2" t="s">
        <v>259</v>
      </c>
      <c r="E1424" s="18">
        <v>0</v>
      </c>
      <c r="F1424" s="18">
        <v>0</v>
      </c>
      <c r="G1424" s="18">
        <v>0</v>
      </c>
      <c r="H1424" s="18">
        <v>0</v>
      </c>
      <c r="I1424" s="18">
        <v>0</v>
      </c>
      <c r="J1424" s="18">
        <v>0</v>
      </c>
      <c r="K1424" s="18">
        <v>2</v>
      </c>
      <c r="T1424" s="3">
        <f>SUM(E1424:S1424)</f>
        <v>2</v>
      </c>
      <c r="U1424" s="3">
        <v>6</v>
      </c>
      <c r="V1424" s="3">
        <v>2</v>
      </c>
      <c r="X1424" s="2" t="s">
        <v>588</v>
      </c>
      <c r="Y1424" s="18">
        <v>0</v>
      </c>
      <c r="Z1424" s="18">
        <v>0</v>
      </c>
      <c r="AA1424" s="18">
        <v>2</v>
      </c>
      <c r="AB1424" s="18">
        <v>5</v>
      </c>
      <c r="AC1424" s="18">
        <v>0</v>
      </c>
      <c r="AD1424" s="18">
        <v>0</v>
      </c>
      <c r="AE1424" s="18">
        <v>0</v>
      </c>
      <c r="AN1424" s="3">
        <f>SUM(Y1424:AM1424)</f>
        <v>7</v>
      </c>
      <c r="AO1424" s="3">
        <v>5</v>
      </c>
      <c r="AP1424" s="3">
        <v>0</v>
      </c>
      <c r="AR1424" s="2" t="s">
        <v>589</v>
      </c>
    </row>
    <row r="1425" spans="1:44" ht="12.75" customHeight="1">
      <c r="A1425" s="4">
        <f>DATE(61,4,27)</f>
        <v>22398</v>
      </c>
      <c r="C1425" s="2" t="s">
        <v>371</v>
      </c>
      <c r="E1425" s="18">
        <v>0</v>
      </c>
      <c r="F1425" s="18">
        <v>0</v>
      </c>
      <c r="G1425" s="18">
        <v>0</v>
      </c>
      <c r="H1425" s="18">
        <v>0</v>
      </c>
      <c r="I1425" s="18">
        <v>1</v>
      </c>
      <c r="J1425" s="18">
        <v>2</v>
      </c>
      <c r="K1425" s="18">
        <v>0</v>
      </c>
      <c r="T1425" s="3">
        <v>3</v>
      </c>
      <c r="U1425" s="3">
        <v>5</v>
      </c>
      <c r="V1425" s="3">
        <v>6</v>
      </c>
      <c r="X1425" s="2" t="s">
        <v>746</v>
      </c>
      <c r="Y1425" s="18">
        <v>2</v>
      </c>
      <c r="Z1425" s="18">
        <v>0</v>
      </c>
      <c r="AA1425" s="18">
        <v>0</v>
      </c>
      <c r="AB1425" s="18">
        <v>8</v>
      </c>
      <c r="AC1425" s="18">
        <v>4</v>
      </c>
      <c r="AD1425" s="18">
        <v>0</v>
      </c>
      <c r="AE1425" s="18">
        <v>1</v>
      </c>
      <c r="AN1425" s="3">
        <v>15</v>
      </c>
      <c r="AO1425" s="3">
        <v>13</v>
      </c>
      <c r="AP1425" s="3">
        <v>1</v>
      </c>
      <c r="AR1425" s="2" t="s">
        <v>747</v>
      </c>
    </row>
    <row r="1426" spans="1:44" ht="12.75" customHeight="1">
      <c r="A1426" s="4">
        <f>DATE(61,5,5)</f>
        <v>22406</v>
      </c>
      <c r="B1426" s="2" t="s">
        <v>152</v>
      </c>
      <c r="C1426" s="2" t="s">
        <v>371</v>
      </c>
      <c r="E1426" s="18">
        <v>0</v>
      </c>
      <c r="F1426" s="18">
        <v>0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T1426" s="3">
        <v>0</v>
      </c>
      <c r="U1426" s="3">
        <v>2</v>
      </c>
      <c r="V1426" s="3">
        <v>2</v>
      </c>
      <c r="X1426" s="2" t="s">
        <v>753</v>
      </c>
      <c r="Y1426" s="18">
        <v>2</v>
      </c>
      <c r="Z1426" s="18">
        <v>0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N1426" s="3">
        <v>2</v>
      </c>
      <c r="AO1426" s="3">
        <v>6</v>
      </c>
      <c r="AP1426" s="3">
        <v>2</v>
      </c>
      <c r="AR1426" s="2" t="s">
        <v>754</v>
      </c>
    </row>
    <row r="1427" spans="1:44" ht="12" customHeight="1">
      <c r="A1427" s="4">
        <f>DATE(62,5,9)</f>
        <v>22775</v>
      </c>
      <c r="C1427" s="2" t="s">
        <v>371</v>
      </c>
      <c r="E1427" s="18">
        <v>1</v>
      </c>
      <c r="F1427" s="18">
        <v>1</v>
      </c>
      <c r="G1427" s="18">
        <v>0</v>
      </c>
      <c r="H1427" s="18">
        <v>0</v>
      </c>
      <c r="I1427" s="18">
        <v>0</v>
      </c>
      <c r="J1427" s="18">
        <v>0</v>
      </c>
      <c r="K1427" s="18" t="s">
        <v>162</v>
      </c>
      <c r="T1427" s="3">
        <v>2</v>
      </c>
      <c r="U1427" s="3">
        <v>6</v>
      </c>
      <c r="V1427" s="3">
        <v>0</v>
      </c>
      <c r="X1427" s="2" t="s">
        <v>788</v>
      </c>
      <c r="Y1427" s="18">
        <v>1</v>
      </c>
      <c r="Z1427" s="18">
        <v>0</v>
      </c>
      <c r="AA1427" s="18">
        <v>0</v>
      </c>
      <c r="AB1427" s="18">
        <v>0</v>
      </c>
      <c r="AC1427" s="18">
        <v>0</v>
      </c>
      <c r="AD1427" s="18">
        <v>0</v>
      </c>
      <c r="AE1427" s="18">
        <v>0</v>
      </c>
      <c r="AN1427" s="3">
        <v>1</v>
      </c>
      <c r="AO1427" s="3">
        <v>4</v>
      </c>
      <c r="AP1427" s="3">
        <v>0</v>
      </c>
      <c r="AR1427" s="2" t="s">
        <v>796</v>
      </c>
    </row>
    <row r="1428" spans="1:44" ht="12.75" customHeight="1">
      <c r="A1428" s="4">
        <f>DATE(62,5,22)</f>
        <v>22788</v>
      </c>
      <c r="B1428" s="2" t="s">
        <v>152</v>
      </c>
      <c r="C1428" s="2" t="s">
        <v>371</v>
      </c>
      <c r="E1428" s="18">
        <v>0</v>
      </c>
      <c r="F1428" s="18">
        <v>1</v>
      </c>
      <c r="G1428" s="18">
        <v>0</v>
      </c>
      <c r="H1428" s="18">
        <v>0</v>
      </c>
      <c r="I1428" s="18">
        <v>0</v>
      </c>
      <c r="J1428" s="18">
        <v>0</v>
      </c>
      <c r="K1428" s="18">
        <v>0</v>
      </c>
      <c r="T1428" s="3">
        <v>1</v>
      </c>
      <c r="U1428" s="3">
        <v>3</v>
      </c>
      <c r="V1428" s="3">
        <v>1</v>
      </c>
      <c r="X1428" s="2" t="s">
        <v>788</v>
      </c>
      <c r="Y1428" s="18">
        <v>0</v>
      </c>
      <c r="Z1428" s="18">
        <v>0</v>
      </c>
      <c r="AA1428" s="18">
        <v>0</v>
      </c>
      <c r="AB1428" s="18">
        <v>0</v>
      </c>
      <c r="AC1428" s="18">
        <v>0</v>
      </c>
      <c r="AD1428" s="18">
        <v>0</v>
      </c>
      <c r="AE1428" s="18">
        <v>0</v>
      </c>
      <c r="AN1428" s="3">
        <v>0</v>
      </c>
      <c r="AO1428" s="3">
        <v>4</v>
      </c>
      <c r="AP1428" s="3">
        <v>2</v>
      </c>
      <c r="AR1428" s="2" t="s">
        <v>805</v>
      </c>
    </row>
    <row r="1429" spans="1:44" ht="12.75" customHeight="1">
      <c r="A1429" s="4">
        <f>DATE(63,5,16)</f>
        <v>23147</v>
      </c>
      <c r="C1429" s="2" t="s">
        <v>371</v>
      </c>
      <c r="E1429" s="18">
        <v>0</v>
      </c>
      <c r="F1429" s="18">
        <v>0</v>
      </c>
      <c r="G1429" s="18">
        <v>0</v>
      </c>
      <c r="H1429" s="18">
        <v>0</v>
      </c>
      <c r="I1429" s="18">
        <v>0</v>
      </c>
      <c r="J1429" s="18">
        <v>2</v>
      </c>
      <c r="K1429" s="18">
        <v>2</v>
      </c>
      <c r="T1429" s="3">
        <v>4</v>
      </c>
      <c r="U1429" s="3">
        <v>8</v>
      </c>
      <c r="V1429" s="3">
        <v>1</v>
      </c>
      <c r="X1429" s="2" t="s">
        <v>820</v>
      </c>
      <c r="Y1429" s="18">
        <v>1</v>
      </c>
      <c r="Z1429" s="18">
        <v>0</v>
      </c>
      <c r="AA1429" s="18">
        <v>0</v>
      </c>
      <c r="AB1429" s="18">
        <v>0</v>
      </c>
      <c r="AC1429" s="18">
        <v>0</v>
      </c>
      <c r="AD1429" s="18">
        <v>2</v>
      </c>
      <c r="AE1429" s="18">
        <v>0</v>
      </c>
      <c r="AN1429" s="3">
        <v>3</v>
      </c>
      <c r="AO1429" s="3">
        <v>3</v>
      </c>
      <c r="AP1429" s="3">
        <v>5</v>
      </c>
      <c r="AR1429" s="2" t="s">
        <v>825</v>
      </c>
    </row>
    <row r="1430" spans="1:44" ht="12.75" customHeight="1">
      <c r="A1430" s="4">
        <f>DATE(63,5,21)</f>
        <v>23152</v>
      </c>
      <c r="B1430" s="2" t="s">
        <v>152</v>
      </c>
      <c r="C1430" s="2" t="s">
        <v>371</v>
      </c>
      <c r="E1430" s="18">
        <v>0</v>
      </c>
      <c r="F1430" s="18">
        <v>1</v>
      </c>
      <c r="G1430" s="18">
        <v>0</v>
      </c>
      <c r="H1430" s="18">
        <v>0</v>
      </c>
      <c r="I1430" s="18">
        <v>0</v>
      </c>
      <c r="J1430" s="18">
        <v>0</v>
      </c>
      <c r="K1430" s="18">
        <v>0</v>
      </c>
      <c r="T1430" s="3">
        <v>1</v>
      </c>
      <c r="U1430" s="3">
        <v>3</v>
      </c>
      <c r="V1430" s="3">
        <v>3</v>
      </c>
      <c r="X1430" s="2" t="s">
        <v>806</v>
      </c>
      <c r="Y1430" s="18">
        <v>0</v>
      </c>
      <c r="Z1430" s="18">
        <v>0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N1430" s="3">
        <v>0</v>
      </c>
      <c r="AO1430" s="3">
        <v>3</v>
      </c>
      <c r="AP1430" s="3">
        <v>3</v>
      </c>
      <c r="AR1430" s="2" t="s">
        <v>826</v>
      </c>
    </row>
    <row r="1431" spans="1:44" ht="12.75" customHeight="1">
      <c r="A1431" s="4">
        <f>DATE(64,5,12)</f>
        <v>23509</v>
      </c>
      <c r="C1431" s="2" t="s">
        <v>371</v>
      </c>
      <c r="E1431" s="18">
        <v>0</v>
      </c>
      <c r="F1431" s="18">
        <v>0</v>
      </c>
      <c r="G1431" s="18">
        <v>0</v>
      </c>
      <c r="H1431" s="18">
        <v>0</v>
      </c>
      <c r="I1431" s="18">
        <v>0</v>
      </c>
      <c r="J1431" s="18">
        <v>0</v>
      </c>
      <c r="K1431" s="18">
        <v>0</v>
      </c>
      <c r="T1431" s="3">
        <v>0</v>
      </c>
      <c r="U1431" s="3">
        <v>5</v>
      </c>
      <c r="V1431" s="3">
        <v>3</v>
      </c>
      <c r="X1431" s="2" t="s">
        <v>820</v>
      </c>
      <c r="Y1431" s="18">
        <v>0</v>
      </c>
      <c r="Z1431" s="18">
        <v>1</v>
      </c>
      <c r="AA1431" s="18">
        <v>0</v>
      </c>
      <c r="AB1431" s="18">
        <v>0</v>
      </c>
      <c r="AC1431" s="18">
        <v>2</v>
      </c>
      <c r="AD1431" s="18">
        <v>0</v>
      </c>
      <c r="AE1431" s="18">
        <v>0</v>
      </c>
      <c r="AN1431" s="3">
        <v>3</v>
      </c>
      <c r="AO1431" s="3">
        <v>4</v>
      </c>
      <c r="AP1431" s="3">
        <v>0</v>
      </c>
      <c r="AR1431" s="2" t="s">
        <v>837</v>
      </c>
    </row>
    <row r="1432" spans="1:44" ht="12.75" customHeight="1">
      <c r="A1432" s="4">
        <f>DATE(64,5,15)</f>
        <v>23512</v>
      </c>
      <c r="B1432" s="2" t="s">
        <v>152</v>
      </c>
      <c r="C1432" s="2" t="s">
        <v>371</v>
      </c>
      <c r="E1432" s="18">
        <v>0</v>
      </c>
      <c r="F1432" s="18">
        <v>1</v>
      </c>
      <c r="G1432" s="18">
        <v>1</v>
      </c>
      <c r="H1432" s="18">
        <v>0</v>
      </c>
      <c r="I1432" s="18">
        <v>0</v>
      </c>
      <c r="J1432" s="18">
        <v>1</v>
      </c>
      <c r="T1432" s="3">
        <v>3</v>
      </c>
      <c r="U1432" s="3">
        <v>8</v>
      </c>
      <c r="V1432" s="3">
        <v>1</v>
      </c>
      <c r="X1432" s="2" t="s">
        <v>793</v>
      </c>
      <c r="Y1432" s="18">
        <v>1</v>
      </c>
      <c r="Z1432" s="18">
        <v>0</v>
      </c>
      <c r="AA1432" s="18">
        <v>0</v>
      </c>
      <c r="AB1432" s="18">
        <v>0</v>
      </c>
      <c r="AC1432" s="18">
        <v>1</v>
      </c>
      <c r="AD1432" s="18">
        <v>0</v>
      </c>
      <c r="AN1432" s="3">
        <v>2</v>
      </c>
      <c r="AO1432" s="3">
        <v>7</v>
      </c>
      <c r="AP1432" s="3">
        <v>0</v>
      </c>
      <c r="AR1432" s="2" t="s">
        <v>838</v>
      </c>
    </row>
    <row r="1433" spans="1:44" ht="12.75" customHeight="1">
      <c r="A1433" s="4">
        <f>DATE(65,5,11)</f>
        <v>23873</v>
      </c>
      <c r="C1433" s="2" t="s">
        <v>371</v>
      </c>
      <c r="E1433" s="18">
        <v>3</v>
      </c>
      <c r="F1433" s="18">
        <v>0</v>
      </c>
      <c r="G1433" s="18">
        <v>1</v>
      </c>
      <c r="H1433" s="18">
        <v>3</v>
      </c>
      <c r="I1433" s="18">
        <v>0</v>
      </c>
      <c r="J1433" s="18">
        <v>0</v>
      </c>
      <c r="K1433" s="18" t="s">
        <v>162</v>
      </c>
      <c r="T1433" s="3">
        <v>7</v>
      </c>
      <c r="U1433" s="3">
        <v>7</v>
      </c>
      <c r="V1433" s="3">
        <v>1</v>
      </c>
      <c r="X1433" s="2" t="s">
        <v>846</v>
      </c>
      <c r="Y1433" s="18">
        <v>2</v>
      </c>
      <c r="Z1433" s="18">
        <v>0</v>
      </c>
      <c r="AA1433" s="18">
        <v>0</v>
      </c>
      <c r="AB1433" s="18">
        <v>0</v>
      </c>
      <c r="AC1433" s="18">
        <v>0</v>
      </c>
      <c r="AD1433" s="18">
        <v>0</v>
      </c>
      <c r="AE1433" s="18">
        <v>0</v>
      </c>
      <c r="AN1433" s="3">
        <v>2</v>
      </c>
      <c r="AO1433" s="3">
        <v>3</v>
      </c>
      <c r="AP1433" s="3">
        <v>3</v>
      </c>
      <c r="AR1433" s="2" t="s">
        <v>849</v>
      </c>
    </row>
    <row r="1434" spans="1:44" ht="12.75" customHeight="1">
      <c r="A1434" s="4">
        <f>DATE(65,5,18)</f>
        <v>23880</v>
      </c>
      <c r="B1434" s="2" t="s">
        <v>152</v>
      </c>
      <c r="C1434" s="2" t="s">
        <v>371</v>
      </c>
      <c r="E1434" s="18">
        <v>0</v>
      </c>
      <c r="F1434" s="18">
        <v>0</v>
      </c>
      <c r="G1434" s="18">
        <v>0</v>
      </c>
      <c r="H1434" s="18">
        <v>0</v>
      </c>
      <c r="I1434" s="18">
        <v>0</v>
      </c>
      <c r="J1434" s="18">
        <v>1</v>
      </c>
      <c r="K1434" s="18">
        <v>0</v>
      </c>
      <c r="T1434" s="3">
        <v>1</v>
      </c>
      <c r="U1434" s="3">
        <v>3</v>
      </c>
      <c r="V1434" s="3">
        <v>3</v>
      </c>
      <c r="X1434" s="2" t="s">
        <v>839</v>
      </c>
      <c r="Y1434" s="18">
        <v>1</v>
      </c>
      <c r="Z1434" s="18">
        <v>0</v>
      </c>
      <c r="AA1434" s="18">
        <v>0</v>
      </c>
      <c r="AB1434" s="18">
        <v>0</v>
      </c>
      <c r="AC1434" s="18">
        <v>2</v>
      </c>
      <c r="AD1434" s="18">
        <v>1</v>
      </c>
      <c r="AE1434" s="18" t="s">
        <v>162</v>
      </c>
      <c r="AN1434" s="3">
        <v>4</v>
      </c>
      <c r="AO1434" s="3">
        <v>9</v>
      </c>
      <c r="AP1434" s="3">
        <v>0</v>
      </c>
      <c r="AR1434" s="2" t="s">
        <v>852</v>
      </c>
    </row>
    <row r="1435" spans="1:44" ht="12.75" customHeight="1">
      <c r="A1435" s="4">
        <f>DATE(66,5,10)</f>
        <v>24237</v>
      </c>
      <c r="B1435" s="2" t="s">
        <v>152</v>
      </c>
      <c r="C1435" s="2" t="s">
        <v>371</v>
      </c>
      <c r="E1435" s="18">
        <v>2</v>
      </c>
      <c r="F1435" s="18">
        <v>0</v>
      </c>
      <c r="G1435" s="18">
        <v>1</v>
      </c>
      <c r="H1435" s="18">
        <v>0</v>
      </c>
      <c r="I1435" s="18">
        <v>0</v>
      </c>
      <c r="J1435" s="18">
        <v>0</v>
      </c>
      <c r="K1435" s="18">
        <v>4</v>
      </c>
      <c r="T1435" s="3">
        <v>7</v>
      </c>
      <c r="U1435" s="3">
        <v>9</v>
      </c>
      <c r="V1435" s="3">
        <v>1</v>
      </c>
      <c r="X1435" s="2" t="s">
        <v>846</v>
      </c>
      <c r="Y1435" s="18">
        <v>0</v>
      </c>
      <c r="Z1435" s="18">
        <v>0</v>
      </c>
      <c r="AA1435" s="18">
        <v>0</v>
      </c>
      <c r="AB1435" s="18">
        <v>0</v>
      </c>
      <c r="AC1435" s="18">
        <v>0</v>
      </c>
      <c r="AD1435" s="18">
        <v>2</v>
      </c>
      <c r="AE1435" s="18">
        <v>0</v>
      </c>
      <c r="AN1435" s="3">
        <v>2</v>
      </c>
      <c r="AO1435" s="3">
        <v>3</v>
      </c>
      <c r="AP1435" s="3">
        <v>1</v>
      </c>
      <c r="AR1435" s="2" t="s">
        <v>868</v>
      </c>
    </row>
    <row r="1436" spans="1:44" ht="12.75" customHeight="1">
      <c r="A1436" s="4">
        <f>DATE(66,5,17)</f>
        <v>24244</v>
      </c>
      <c r="C1436" s="2" t="s">
        <v>371</v>
      </c>
      <c r="E1436" s="18">
        <v>1</v>
      </c>
      <c r="F1436" s="18">
        <v>0</v>
      </c>
      <c r="G1436" s="18">
        <v>1</v>
      </c>
      <c r="H1436" s="18">
        <v>2</v>
      </c>
      <c r="I1436" s="18">
        <v>0</v>
      </c>
      <c r="J1436" s="18">
        <v>1</v>
      </c>
      <c r="K1436" s="18">
        <v>1</v>
      </c>
      <c r="T1436" s="3">
        <v>6</v>
      </c>
      <c r="U1436" s="3">
        <v>12</v>
      </c>
      <c r="V1436" s="3">
        <v>3</v>
      </c>
      <c r="X1436" s="2" t="s">
        <v>870</v>
      </c>
      <c r="Y1436" s="18">
        <v>3</v>
      </c>
      <c r="Z1436" s="18">
        <v>0</v>
      </c>
      <c r="AA1436" s="18">
        <v>2</v>
      </c>
      <c r="AB1436" s="18">
        <v>0</v>
      </c>
      <c r="AC1436" s="18">
        <v>0</v>
      </c>
      <c r="AD1436" s="18">
        <v>0</v>
      </c>
      <c r="AE1436" s="18">
        <v>0</v>
      </c>
      <c r="AN1436" s="3">
        <v>5</v>
      </c>
      <c r="AO1436" s="3">
        <v>5</v>
      </c>
      <c r="AP1436" s="3">
        <v>2</v>
      </c>
      <c r="AR1436" s="2" t="s">
        <v>871</v>
      </c>
    </row>
    <row r="1437" spans="1:44" ht="12.75" customHeight="1">
      <c r="A1437" s="4">
        <f>DATE(67,4,13)</f>
        <v>24575</v>
      </c>
      <c r="C1437" s="2" t="s">
        <v>371</v>
      </c>
      <c r="E1437" s="18">
        <v>0</v>
      </c>
      <c r="F1437" s="18">
        <v>2</v>
      </c>
      <c r="G1437" s="18">
        <v>0</v>
      </c>
      <c r="H1437" s="18">
        <v>0</v>
      </c>
      <c r="I1437" s="18">
        <v>1</v>
      </c>
      <c r="J1437" s="18">
        <v>2</v>
      </c>
      <c r="K1437" s="18" t="s">
        <v>162</v>
      </c>
      <c r="T1437" s="3">
        <v>5</v>
      </c>
      <c r="U1437" s="3">
        <v>8</v>
      </c>
      <c r="V1437" s="3">
        <v>0</v>
      </c>
      <c r="X1437" s="2" t="s">
        <v>879</v>
      </c>
      <c r="Y1437" s="18">
        <v>0</v>
      </c>
      <c r="Z1437" s="18">
        <v>0</v>
      </c>
      <c r="AA1437" s="18">
        <v>0</v>
      </c>
      <c r="AB1437" s="18">
        <v>0</v>
      </c>
      <c r="AC1437" s="18">
        <v>0</v>
      </c>
      <c r="AD1437" s="18">
        <v>0</v>
      </c>
      <c r="AE1437" s="18">
        <v>0</v>
      </c>
      <c r="AN1437" s="3">
        <v>0</v>
      </c>
      <c r="AO1437" s="3">
        <v>1</v>
      </c>
      <c r="AP1437" s="3">
        <v>3</v>
      </c>
      <c r="AR1437" s="2" t="s">
        <v>880</v>
      </c>
    </row>
    <row r="1438" spans="1:44" ht="12.75" customHeight="1">
      <c r="A1438" s="4">
        <f>DATE(67,5,4)</f>
        <v>24596</v>
      </c>
      <c r="B1438" s="2" t="s">
        <v>152</v>
      </c>
      <c r="C1438" s="2" t="s">
        <v>371</v>
      </c>
      <c r="E1438" s="18">
        <v>0</v>
      </c>
      <c r="F1438" s="18">
        <v>1</v>
      </c>
      <c r="G1438" s="18">
        <v>0</v>
      </c>
      <c r="H1438" s="18">
        <v>0</v>
      </c>
      <c r="I1438" s="18">
        <v>1</v>
      </c>
      <c r="J1438" s="18">
        <v>1</v>
      </c>
      <c r="K1438" s="18">
        <v>4</v>
      </c>
      <c r="T1438" s="3">
        <v>7</v>
      </c>
      <c r="U1438" s="3">
        <v>8</v>
      </c>
      <c r="V1438" s="3">
        <v>0</v>
      </c>
      <c r="X1438" s="2" t="s">
        <v>879</v>
      </c>
      <c r="Y1438" s="18">
        <v>0</v>
      </c>
      <c r="Z1438" s="18">
        <v>0</v>
      </c>
      <c r="AA1438" s="18">
        <v>0</v>
      </c>
      <c r="AB1438" s="18">
        <v>1</v>
      </c>
      <c r="AC1438" s="18">
        <v>0</v>
      </c>
      <c r="AD1438" s="18">
        <v>0</v>
      </c>
      <c r="AE1438" s="18">
        <v>0</v>
      </c>
      <c r="AN1438" s="3">
        <v>1</v>
      </c>
      <c r="AO1438" s="3">
        <v>7</v>
      </c>
      <c r="AP1438" s="3">
        <v>7</v>
      </c>
      <c r="AR1438" s="2" t="s">
        <v>880</v>
      </c>
    </row>
    <row r="1439" spans="1:44" ht="12.75" customHeight="1">
      <c r="A1439" s="4">
        <f>DATE(68,5,2)</f>
        <v>24960</v>
      </c>
      <c r="B1439" s="2" t="s">
        <v>152</v>
      </c>
      <c r="C1439" s="2" t="s">
        <v>371</v>
      </c>
      <c r="E1439" s="18">
        <v>2</v>
      </c>
      <c r="F1439" s="18">
        <v>0</v>
      </c>
      <c r="G1439" s="18">
        <v>0</v>
      </c>
      <c r="H1439" s="18">
        <v>0</v>
      </c>
      <c r="I1439" s="18">
        <v>0</v>
      </c>
      <c r="J1439" s="18">
        <v>0</v>
      </c>
      <c r="K1439" s="18">
        <v>1</v>
      </c>
      <c r="T1439" s="3">
        <v>3</v>
      </c>
      <c r="U1439" s="3">
        <v>5</v>
      </c>
      <c r="V1439" s="3">
        <v>0</v>
      </c>
      <c r="X1439" s="2" t="s">
        <v>898</v>
      </c>
      <c r="Y1439" s="18">
        <v>0</v>
      </c>
      <c r="Z1439" s="18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1</v>
      </c>
      <c r="AN1439" s="3">
        <v>1</v>
      </c>
      <c r="AO1439" s="3">
        <v>7</v>
      </c>
      <c r="AP1439" s="3">
        <v>2</v>
      </c>
      <c r="AR1439" s="2" t="s">
        <v>899</v>
      </c>
    </row>
    <row r="1440" spans="1:44" ht="12.75" customHeight="1">
      <c r="A1440" s="4">
        <f>DATE(68,5,14)</f>
        <v>24972</v>
      </c>
      <c r="C1440" s="2" t="s">
        <v>371</v>
      </c>
      <c r="E1440" s="18">
        <v>0</v>
      </c>
      <c r="F1440" s="18">
        <v>0</v>
      </c>
      <c r="G1440" s="18">
        <v>0</v>
      </c>
      <c r="H1440" s="18">
        <v>0</v>
      </c>
      <c r="I1440" s="18">
        <v>0</v>
      </c>
      <c r="J1440" s="18">
        <v>0</v>
      </c>
      <c r="K1440" s="18">
        <v>1</v>
      </c>
      <c r="T1440" s="3">
        <v>1</v>
      </c>
      <c r="U1440" s="3">
        <v>8</v>
      </c>
      <c r="V1440" s="3">
        <v>3</v>
      </c>
      <c r="X1440" s="2" t="s">
        <v>902</v>
      </c>
      <c r="Y1440" s="18">
        <v>0</v>
      </c>
      <c r="Z1440" s="18">
        <v>1</v>
      </c>
      <c r="AA1440" s="18">
        <v>2</v>
      </c>
      <c r="AB1440" s="18">
        <v>0</v>
      </c>
      <c r="AC1440" s="18">
        <v>0</v>
      </c>
      <c r="AD1440" s="18">
        <v>0</v>
      </c>
      <c r="AE1440" s="18">
        <v>0</v>
      </c>
      <c r="AN1440" s="3">
        <v>3</v>
      </c>
      <c r="AO1440" s="3">
        <v>8</v>
      </c>
      <c r="AP1440" s="3">
        <v>2</v>
      </c>
      <c r="AR1440" s="2" t="s">
        <v>899</v>
      </c>
    </row>
    <row r="1441" spans="1:44" ht="12.75" customHeight="1">
      <c r="A1441" s="4">
        <f>DATE(69,5,1)</f>
        <v>25324</v>
      </c>
      <c r="C1441" s="2" t="s">
        <v>371</v>
      </c>
      <c r="E1441" s="18">
        <v>0</v>
      </c>
      <c r="F1441" s="18">
        <v>0</v>
      </c>
      <c r="G1441" s="18">
        <v>1</v>
      </c>
      <c r="H1441" s="18">
        <v>0</v>
      </c>
      <c r="I1441" s="18">
        <v>0</v>
      </c>
      <c r="J1441" s="18">
        <v>0</v>
      </c>
      <c r="K1441" s="18">
        <v>0</v>
      </c>
      <c r="L1441" s="18">
        <v>1</v>
      </c>
      <c r="T1441" s="3">
        <v>2</v>
      </c>
      <c r="U1441" s="3">
        <v>2</v>
      </c>
      <c r="V1441" s="3">
        <v>2</v>
      </c>
      <c r="X1441" s="2" t="s">
        <v>912</v>
      </c>
      <c r="Y1441" s="18">
        <v>0</v>
      </c>
      <c r="Z1441" s="18">
        <v>0</v>
      </c>
      <c r="AA1441" s="18">
        <v>0</v>
      </c>
      <c r="AB1441" s="18">
        <v>1</v>
      </c>
      <c r="AC1441" s="18">
        <v>0</v>
      </c>
      <c r="AD1441" s="18">
        <v>0</v>
      </c>
      <c r="AE1441" s="18">
        <v>0</v>
      </c>
      <c r="AF1441" s="18">
        <v>0</v>
      </c>
      <c r="AN1441" s="3">
        <v>1</v>
      </c>
      <c r="AO1441" s="3">
        <v>2</v>
      </c>
      <c r="AP1441" s="3">
        <v>4</v>
      </c>
      <c r="AR1441" s="2" t="s">
        <v>913</v>
      </c>
    </row>
    <row r="1442" spans="1:44" ht="12.75" customHeight="1">
      <c r="A1442" s="4">
        <f>DATE(69,5,13)</f>
        <v>25336</v>
      </c>
      <c r="B1442" s="2" t="s">
        <v>152</v>
      </c>
      <c r="C1442" s="2" t="s">
        <v>371</v>
      </c>
      <c r="E1442" s="18">
        <v>0</v>
      </c>
      <c r="F1442" s="18">
        <v>0</v>
      </c>
      <c r="G1442" s="18">
        <v>0</v>
      </c>
      <c r="H1442" s="18">
        <v>0</v>
      </c>
      <c r="I1442" s="18">
        <v>0</v>
      </c>
      <c r="J1442" s="18">
        <v>1</v>
      </c>
      <c r="K1442" s="18">
        <v>3</v>
      </c>
      <c r="T1442" s="3">
        <v>4</v>
      </c>
      <c r="U1442" s="3">
        <v>4</v>
      </c>
      <c r="V1442" s="3">
        <v>2</v>
      </c>
      <c r="X1442" s="2" t="s">
        <v>893</v>
      </c>
      <c r="Y1442" s="18">
        <v>0</v>
      </c>
      <c r="Z1442" s="18">
        <v>0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N1442" s="3">
        <v>0</v>
      </c>
      <c r="AO1442" s="3">
        <v>1</v>
      </c>
      <c r="AP1442" s="3">
        <v>4</v>
      </c>
      <c r="AR1442" s="2" t="s">
        <v>914</v>
      </c>
    </row>
    <row r="1443" spans="1:44" ht="12.75" customHeight="1">
      <c r="A1443" s="4">
        <f>DATE(70,4,30)</f>
        <v>25688</v>
      </c>
      <c r="B1443" s="2" t="s">
        <v>152</v>
      </c>
      <c r="C1443" s="2" t="s">
        <v>371</v>
      </c>
      <c r="E1443" s="18">
        <v>0</v>
      </c>
      <c r="F1443" s="18">
        <v>0</v>
      </c>
      <c r="G1443" s="18">
        <v>0</v>
      </c>
      <c r="H1443" s="18">
        <v>2</v>
      </c>
      <c r="I1443" s="18">
        <v>1</v>
      </c>
      <c r="J1443" s="18">
        <v>3</v>
      </c>
      <c r="K1443" s="18">
        <v>0</v>
      </c>
      <c r="T1443" s="3">
        <v>6</v>
      </c>
      <c r="U1443" s="3">
        <v>12</v>
      </c>
      <c r="V1443" s="3">
        <v>2</v>
      </c>
      <c r="X1443" s="2" t="s">
        <v>898</v>
      </c>
      <c r="Y1443" s="18">
        <v>0</v>
      </c>
      <c r="Z1443" s="18">
        <v>0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N1443" s="3">
        <v>0</v>
      </c>
      <c r="AO1443" s="3">
        <v>4</v>
      </c>
      <c r="AP1443" s="3">
        <v>2</v>
      </c>
      <c r="AR1443" s="2" t="s">
        <v>923</v>
      </c>
    </row>
    <row r="1444" spans="1:44" ht="12.75" customHeight="1">
      <c r="A1444" s="4">
        <f>DATE(70,5,12)</f>
        <v>25700</v>
      </c>
      <c r="C1444" s="2" t="s">
        <v>371</v>
      </c>
      <c r="E1444" s="18">
        <v>1</v>
      </c>
      <c r="F1444" s="18">
        <v>0</v>
      </c>
      <c r="G1444" s="18">
        <v>0</v>
      </c>
      <c r="H1444" s="18">
        <v>0</v>
      </c>
      <c r="I1444" s="18">
        <v>0</v>
      </c>
      <c r="J1444" s="18">
        <v>1</v>
      </c>
      <c r="K1444" s="18" t="s">
        <v>162</v>
      </c>
      <c r="T1444" s="3">
        <v>2</v>
      </c>
      <c r="U1444" s="3">
        <v>7</v>
      </c>
      <c r="V1444" s="3">
        <v>4</v>
      </c>
      <c r="X1444" s="2" t="s">
        <v>898</v>
      </c>
      <c r="Y1444" s="18">
        <v>0</v>
      </c>
      <c r="Z1444" s="18">
        <v>0</v>
      </c>
      <c r="AA1444" s="18">
        <v>0</v>
      </c>
      <c r="AB1444" s="18">
        <v>0</v>
      </c>
      <c r="AC1444" s="18">
        <v>0</v>
      </c>
      <c r="AD1444" s="18">
        <v>0</v>
      </c>
      <c r="AE1444" s="18">
        <v>0</v>
      </c>
      <c r="AN1444" s="3">
        <v>0</v>
      </c>
      <c r="AO1444" s="3">
        <v>4</v>
      </c>
      <c r="AP1444" s="3">
        <v>5</v>
      </c>
      <c r="AR1444" s="2" t="s">
        <v>927</v>
      </c>
    </row>
    <row r="1445" spans="1:44" ht="12.75" customHeight="1">
      <c r="A1445" s="4">
        <f>DATE(71,4,29)</f>
        <v>26052</v>
      </c>
      <c r="C1445" s="2" t="s">
        <v>371</v>
      </c>
      <c r="E1445" s="18">
        <v>2</v>
      </c>
      <c r="F1445" s="18">
        <v>0</v>
      </c>
      <c r="G1445" s="18">
        <v>0</v>
      </c>
      <c r="H1445" s="18">
        <v>0</v>
      </c>
      <c r="I1445" s="18">
        <v>2</v>
      </c>
      <c r="J1445" s="18">
        <v>0</v>
      </c>
      <c r="K1445" s="18">
        <v>0</v>
      </c>
      <c r="T1445" s="3">
        <v>4</v>
      </c>
      <c r="U1445" s="3">
        <v>4</v>
      </c>
      <c r="V1445" s="3">
        <v>1</v>
      </c>
      <c r="X1445" s="2" t="s">
        <v>949</v>
      </c>
      <c r="Y1445" s="18">
        <v>0</v>
      </c>
      <c r="Z1445" s="18">
        <v>0</v>
      </c>
      <c r="AA1445" s="18">
        <v>2</v>
      </c>
      <c r="AB1445" s="18">
        <v>0</v>
      </c>
      <c r="AC1445" s="18">
        <v>1</v>
      </c>
      <c r="AD1445" s="18">
        <v>0</v>
      </c>
      <c r="AE1445" s="18">
        <v>0</v>
      </c>
      <c r="AN1445" s="3">
        <v>3</v>
      </c>
      <c r="AO1445" s="3">
        <v>3</v>
      </c>
      <c r="AP1445" s="3">
        <v>5</v>
      </c>
      <c r="AR1445" s="2" t="s">
        <v>953</v>
      </c>
    </row>
    <row r="1446" spans="1:44" ht="12.75" customHeight="1">
      <c r="A1446" s="4">
        <f>DATE(71,5,11)</f>
        <v>26064</v>
      </c>
      <c r="B1446" s="2" t="s">
        <v>152</v>
      </c>
      <c r="C1446" s="2" t="s">
        <v>371</v>
      </c>
      <c r="E1446" s="18">
        <v>5</v>
      </c>
      <c r="F1446" s="18">
        <v>0</v>
      </c>
      <c r="G1446" s="18">
        <v>1</v>
      </c>
      <c r="H1446" s="18">
        <v>3</v>
      </c>
      <c r="I1446" s="18">
        <v>1</v>
      </c>
      <c r="J1446" s="18">
        <v>0</v>
      </c>
      <c r="K1446" s="18">
        <v>0</v>
      </c>
      <c r="T1446" s="3">
        <v>10</v>
      </c>
      <c r="U1446" s="3">
        <v>11</v>
      </c>
      <c r="V1446" s="3">
        <v>1</v>
      </c>
      <c r="X1446" s="2" t="s">
        <v>949</v>
      </c>
      <c r="Y1446" s="18">
        <v>0</v>
      </c>
      <c r="Z1446" s="18">
        <v>0</v>
      </c>
      <c r="AA1446" s="18">
        <v>0</v>
      </c>
      <c r="AB1446" s="18">
        <v>0</v>
      </c>
      <c r="AC1446" s="18">
        <v>0</v>
      </c>
      <c r="AD1446" s="18">
        <v>2</v>
      </c>
      <c r="AE1446" s="18">
        <v>0</v>
      </c>
      <c r="AN1446" s="3">
        <v>2</v>
      </c>
      <c r="AO1446" s="3">
        <v>7</v>
      </c>
      <c r="AP1446" s="3">
        <v>7</v>
      </c>
      <c r="AR1446" s="2" t="s">
        <v>956</v>
      </c>
    </row>
    <row r="1447" spans="1:44" ht="12.75" customHeight="1">
      <c r="A1447" s="5">
        <v>39573</v>
      </c>
      <c r="C1447" s="2" t="s">
        <v>371</v>
      </c>
      <c r="E1447" s="18">
        <v>1</v>
      </c>
      <c r="F1447" s="18">
        <v>0</v>
      </c>
      <c r="G1447" s="18">
        <v>4</v>
      </c>
      <c r="H1447" s="18">
        <v>3</v>
      </c>
      <c r="I1447" s="18">
        <v>1</v>
      </c>
      <c r="J1447" s="18">
        <v>1</v>
      </c>
      <c r="K1447" s="18" t="s">
        <v>162</v>
      </c>
      <c r="T1447" s="3">
        <f>SUM(E1447:S1447)</f>
        <v>10</v>
      </c>
      <c r="U1447" s="3">
        <v>8</v>
      </c>
      <c r="V1447" s="3">
        <v>3</v>
      </c>
      <c r="X1447" s="2" t="s">
        <v>1953</v>
      </c>
      <c r="Y1447" s="18">
        <v>3</v>
      </c>
      <c r="Z1447" s="18">
        <v>0</v>
      </c>
      <c r="AA1447" s="18">
        <v>1</v>
      </c>
      <c r="AB1447" s="18">
        <v>0</v>
      </c>
      <c r="AC1447" s="18">
        <v>0</v>
      </c>
      <c r="AD1447" s="18">
        <v>3</v>
      </c>
      <c r="AE1447" s="18">
        <v>1</v>
      </c>
      <c r="AN1447" s="3">
        <f>SUM(Y1447:AM1447)</f>
        <v>8</v>
      </c>
      <c r="AO1447" s="3">
        <v>9</v>
      </c>
      <c r="AP1447" s="3">
        <v>6</v>
      </c>
      <c r="AR1447" s="2" t="s">
        <v>1952</v>
      </c>
    </row>
    <row r="1448" spans="1:44" ht="12.75" customHeight="1">
      <c r="A1448" s="4">
        <f>DATE(79,5,12)</f>
        <v>28987</v>
      </c>
      <c r="B1448" s="2" t="s">
        <v>239</v>
      </c>
      <c r="C1448" s="2" t="s">
        <v>386</v>
      </c>
      <c r="E1448" s="18">
        <v>0</v>
      </c>
      <c r="F1448" s="18">
        <v>0</v>
      </c>
      <c r="G1448" s="18">
        <v>0</v>
      </c>
      <c r="H1448" s="18">
        <v>0</v>
      </c>
      <c r="I1448" s="18">
        <v>0</v>
      </c>
      <c r="J1448" s="18">
        <v>0</v>
      </c>
      <c r="K1448" s="18">
        <v>0</v>
      </c>
      <c r="T1448" s="3">
        <v>0</v>
      </c>
      <c r="U1448" s="3">
        <v>5</v>
      </c>
      <c r="V1448" s="3">
        <v>7</v>
      </c>
      <c r="X1448" s="2" t="s">
        <v>1157</v>
      </c>
      <c r="Y1448" s="18">
        <v>1</v>
      </c>
      <c r="Z1448" s="18">
        <v>0</v>
      </c>
      <c r="AA1448" s="18">
        <v>3</v>
      </c>
      <c r="AB1448" s="18">
        <v>2</v>
      </c>
      <c r="AC1448" s="18">
        <v>0</v>
      </c>
      <c r="AD1448" s="18">
        <v>3</v>
      </c>
      <c r="AE1448" s="18" t="s">
        <v>162</v>
      </c>
      <c r="AN1448" s="3">
        <v>9</v>
      </c>
      <c r="AO1448" s="3">
        <v>9</v>
      </c>
      <c r="AP1448" s="3">
        <v>0</v>
      </c>
      <c r="AR1448" s="2" t="s">
        <v>277</v>
      </c>
    </row>
    <row r="1449" spans="1:44" ht="12.75" customHeight="1">
      <c r="A1449" s="4">
        <f>DATE(83,3,31)</f>
        <v>30406</v>
      </c>
      <c r="B1449" s="2" t="s">
        <v>152</v>
      </c>
      <c r="C1449" s="2" t="s">
        <v>1397</v>
      </c>
      <c r="E1449" s="18">
        <v>0</v>
      </c>
      <c r="F1449" s="18">
        <v>0</v>
      </c>
      <c r="G1449" s="18">
        <v>0</v>
      </c>
      <c r="H1449" s="18">
        <v>0</v>
      </c>
      <c r="I1449" s="18">
        <v>1</v>
      </c>
      <c r="J1449" s="18">
        <v>1</v>
      </c>
      <c r="K1449" s="18">
        <v>0</v>
      </c>
      <c r="T1449" s="3">
        <v>2</v>
      </c>
      <c r="U1449" s="3">
        <v>7</v>
      </c>
      <c r="V1449" s="3">
        <v>2</v>
      </c>
      <c r="X1449" s="2" t="s">
        <v>1398</v>
      </c>
      <c r="Y1449" s="18">
        <v>0</v>
      </c>
      <c r="Z1449" s="18">
        <v>2</v>
      </c>
      <c r="AA1449" s="18">
        <v>0</v>
      </c>
      <c r="AB1449" s="18">
        <v>1</v>
      </c>
      <c r="AC1449" s="18">
        <v>0</v>
      </c>
      <c r="AD1449" s="18">
        <v>0</v>
      </c>
      <c r="AE1449" s="18" t="s">
        <v>162</v>
      </c>
      <c r="AN1449" s="3">
        <v>3</v>
      </c>
      <c r="AO1449" s="3">
        <v>3</v>
      </c>
      <c r="AP1449" s="3">
        <v>4</v>
      </c>
      <c r="AR1449" s="2" t="s">
        <v>310</v>
      </c>
    </row>
    <row r="1450" spans="1:44" ht="12.75" customHeight="1">
      <c r="A1450" s="4">
        <f>DATE(83,3,31)</f>
        <v>30406</v>
      </c>
      <c r="B1450" s="2" t="s">
        <v>152</v>
      </c>
      <c r="C1450" s="2" t="s">
        <v>1397</v>
      </c>
      <c r="E1450" s="18">
        <v>0</v>
      </c>
      <c r="F1450" s="18">
        <v>0</v>
      </c>
      <c r="G1450" s="18">
        <v>0</v>
      </c>
      <c r="H1450" s="18">
        <v>2</v>
      </c>
      <c r="I1450" s="18">
        <v>0</v>
      </c>
      <c r="J1450" s="18">
        <v>1</v>
      </c>
      <c r="K1450" s="18">
        <v>0</v>
      </c>
      <c r="T1450" s="3">
        <v>3</v>
      </c>
      <c r="U1450" s="3">
        <v>3</v>
      </c>
      <c r="V1450" s="3">
        <v>0</v>
      </c>
      <c r="X1450" s="2" t="s">
        <v>1399</v>
      </c>
      <c r="Y1450" s="18">
        <v>1</v>
      </c>
      <c r="Z1450" s="18">
        <v>0</v>
      </c>
      <c r="AA1450" s="18">
        <v>0</v>
      </c>
      <c r="AB1450" s="18">
        <v>0</v>
      </c>
      <c r="AC1450" s="18">
        <v>0</v>
      </c>
      <c r="AD1450" s="18">
        <v>0</v>
      </c>
      <c r="AE1450" s="18">
        <v>1</v>
      </c>
      <c r="AN1450" s="3">
        <v>2</v>
      </c>
      <c r="AO1450" s="3">
        <v>5</v>
      </c>
      <c r="AP1450" s="3">
        <v>2</v>
      </c>
      <c r="AR1450" s="2" t="s">
        <v>1400</v>
      </c>
    </row>
    <row r="1451" spans="1:44" ht="12.75" customHeight="1">
      <c r="A1451" s="4">
        <f>DATE(80,4,2)</f>
        <v>29313</v>
      </c>
      <c r="B1451" s="2" t="s">
        <v>152</v>
      </c>
      <c r="C1451" s="2" t="s">
        <v>1235</v>
      </c>
      <c r="E1451" s="18">
        <v>0</v>
      </c>
      <c r="F1451" s="18">
        <v>0</v>
      </c>
      <c r="G1451" s="18">
        <v>0</v>
      </c>
      <c r="H1451" s="18">
        <v>0</v>
      </c>
      <c r="I1451" s="18">
        <v>3</v>
      </c>
      <c r="J1451" s="18">
        <v>1</v>
      </c>
      <c r="K1451" s="18">
        <v>0</v>
      </c>
      <c r="L1451" s="18">
        <v>0</v>
      </c>
      <c r="M1451" s="18">
        <v>2</v>
      </c>
      <c r="T1451" s="3">
        <v>6</v>
      </c>
      <c r="U1451" s="3">
        <v>4</v>
      </c>
      <c r="V1451" s="3">
        <v>3</v>
      </c>
      <c r="X1451" s="2" t="s">
        <v>1236</v>
      </c>
      <c r="Y1451" s="18">
        <v>3</v>
      </c>
      <c r="Z1451" s="18">
        <v>0</v>
      </c>
      <c r="AA1451" s="18">
        <v>0</v>
      </c>
      <c r="AB1451" s="18">
        <v>0</v>
      </c>
      <c r="AC1451" s="18">
        <v>1</v>
      </c>
      <c r="AD1451" s="18">
        <v>0</v>
      </c>
      <c r="AE1451" s="18">
        <v>0</v>
      </c>
      <c r="AF1451" s="18">
        <v>0</v>
      </c>
      <c r="AG1451" s="18">
        <v>0</v>
      </c>
      <c r="AN1451" s="3">
        <v>4</v>
      </c>
      <c r="AO1451" s="3">
        <v>5</v>
      </c>
      <c r="AP1451" s="3">
        <v>4</v>
      </c>
      <c r="AR1451" s="2" t="s">
        <v>1238</v>
      </c>
    </row>
    <row r="1452" spans="1:44" ht="12.75" customHeight="1">
      <c r="A1452" s="5">
        <v>39557</v>
      </c>
      <c r="C1452" s="2" t="s">
        <v>1742</v>
      </c>
      <c r="E1452" s="18">
        <v>1</v>
      </c>
      <c r="F1452" s="18">
        <v>0</v>
      </c>
      <c r="G1452" s="18">
        <v>3</v>
      </c>
      <c r="H1452" s="18">
        <v>0</v>
      </c>
      <c r="I1452" s="18">
        <v>0</v>
      </c>
      <c r="J1452" s="18">
        <v>4</v>
      </c>
      <c r="K1452" s="18">
        <v>0</v>
      </c>
      <c r="T1452" s="3">
        <f>SUM(E1452:S1452)</f>
        <v>8</v>
      </c>
      <c r="U1452" s="3">
        <v>8</v>
      </c>
      <c r="V1452" s="3">
        <v>6</v>
      </c>
      <c r="X1452" s="2" t="s">
        <v>1492</v>
      </c>
      <c r="Y1452" s="18">
        <v>3</v>
      </c>
      <c r="Z1452" s="18">
        <v>0</v>
      </c>
      <c r="AA1452" s="18">
        <v>0</v>
      </c>
      <c r="AB1452" s="18">
        <v>4</v>
      </c>
      <c r="AC1452" s="18">
        <v>3</v>
      </c>
      <c r="AD1452" s="18">
        <v>0</v>
      </c>
      <c r="AE1452" s="18">
        <v>0</v>
      </c>
      <c r="AN1452" s="3">
        <f>SUM(Y1452:AM1452)</f>
        <v>10</v>
      </c>
      <c r="AO1452" s="3">
        <v>13</v>
      </c>
      <c r="AP1452" s="3">
        <v>1</v>
      </c>
      <c r="AR1452" s="2" t="s">
        <v>1493</v>
      </c>
    </row>
    <row r="1453" spans="1:44" ht="12.75" customHeight="1">
      <c r="A1453" s="5">
        <v>39921</v>
      </c>
      <c r="B1453" s="2" t="s">
        <v>152</v>
      </c>
      <c r="C1453" s="2" t="s">
        <v>1742</v>
      </c>
      <c r="E1453" s="18">
        <v>0</v>
      </c>
      <c r="F1453" s="18">
        <v>0</v>
      </c>
      <c r="G1453" s="18">
        <v>0</v>
      </c>
      <c r="H1453" s="18">
        <v>1</v>
      </c>
      <c r="I1453" s="18">
        <v>4</v>
      </c>
      <c r="J1453" s="18">
        <v>0</v>
      </c>
      <c r="K1453" s="18">
        <v>1</v>
      </c>
      <c r="T1453" s="3">
        <f>SUM(E1453:S1453)</f>
        <v>6</v>
      </c>
      <c r="U1453" s="3">
        <v>12</v>
      </c>
      <c r="V1453" s="3">
        <v>3</v>
      </c>
      <c r="X1453" s="2" t="s">
        <v>477</v>
      </c>
      <c r="Y1453" s="18">
        <v>0</v>
      </c>
      <c r="Z1453" s="18">
        <v>0</v>
      </c>
      <c r="AA1453" s="18">
        <v>0</v>
      </c>
      <c r="AB1453" s="18">
        <v>0</v>
      </c>
      <c r="AC1453" s="18">
        <v>3</v>
      </c>
      <c r="AD1453" s="18">
        <v>0</v>
      </c>
      <c r="AE1453" s="18">
        <v>0</v>
      </c>
      <c r="AN1453" s="3">
        <f>SUM(Y1453:AM1453)</f>
        <v>3</v>
      </c>
      <c r="AO1453" s="3">
        <v>3</v>
      </c>
      <c r="AP1453" s="3">
        <v>4</v>
      </c>
      <c r="AR1453" s="2" t="s">
        <v>127</v>
      </c>
    </row>
    <row r="1454" spans="1:44" ht="12.75" customHeight="1">
      <c r="A1454" s="20">
        <v>1940</v>
      </c>
      <c r="C1454" s="2" t="s">
        <v>165</v>
      </c>
      <c r="T1454" s="3">
        <v>3</v>
      </c>
      <c r="U1454" s="3" t="s">
        <v>162</v>
      </c>
      <c r="V1454" s="3" t="s">
        <v>162</v>
      </c>
      <c r="X1454" s="2" t="s">
        <v>27</v>
      </c>
      <c r="AN1454" s="3">
        <v>0</v>
      </c>
      <c r="AO1454" s="3" t="s">
        <v>162</v>
      </c>
      <c r="AP1454" s="3" t="s">
        <v>162</v>
      </c>
      <c r="AR1454" s="2" t="s">
        <v>27</v>
      </c>
    </row>
    <row r="1455" spans="1:44" ht="12.75" customHeight="1">
      <c r="A1455" s="4">
        <v>14756</v>
      </c>
      <c r="C1455" s="2" t="s">
        <v>165</v>
      </c>
      <c r="D1455" s="2" t="s">
        <v>171</v>
      </c>
      <c r="E1455" s="18">
        <v>2</v>
      </c>
      <c r="F1455" s="18">
        <v>0</v>
      </c>
      <c r="G1455" s="18">
        <v>0</v>
      </c>
      <c r="H1455" s="18">
        <v>2</v>
      </c>
      <c r="I1455" s="18">
        <v>0</v>
      </c>
      <c r="J1455" s="18">
        <v>1</v>
      </c>
      <c r="K1455" s="18">
        <v>0</v>
      </c>
      <c r="L1455" s="18">
        <v>1</v>
      </c>
      <c r="M1455" s="18" t="s">
        <v>162</v>
      </c>
      <c r="T1455" s="3">
        <v>6</v>
      </c>
      <c r="U1455" s="3">
        <v>5</v>
      </c>
      <c r="V1455" s="3">
        <v>5</v>
      </c>
      <c r="X1455" s="2" t="s">
        <v>59</v>
      </c>
      <c r="Y1455" s="18">
        <v>1</v>
      </c>
      <c r="Z1455" s="18">
        <v>0</v>
      </c>
      <c r="AA1455" s="18">
        <v>0</v>
      </c>
      <c r="AB1455" s="18">
        <v>0</v>
      </c>
      <c r="AC1455" s="18">
        <v>0</v>
      </c>
      <c r="AD1455" s="18">
        <v>2</v>
      </c>
      <c r="AE1455" s="18">
        <v>0</v>
      </c>
      <c r="AF1455" s="18">
        <v>0</v>
      </c>
      <c r="AG1455" s="18">
        <v>2</v>
      </c>
      <c r="AN1455" s="3">
        <v>5</v>
      </c>
      <c r="AO1455" s="3">
        <v>8</v>
      </c>
      <c r="AP1455" s="3">
        <v>1</v>
      </c>
      <c r="AR1455" s="2" t="s">
        <v>42</v>
      </c>
    </row>
    <row r="1456" spans="1:44" ht="12.75" customHeight="1">
      <c r="A1456" s="4">
        <v>14760</v>
      </c>
      <c r="C1456" s="2" t="s">
        <v>165</v>
      </c>
      <c r="D1456" s="2" t="s">
        <v>171</v>
      </c>
      <c r="E1456" s="18">
        <v>0</v>
      </c>
      <c r="F1456" s="18">
        <v>0</v>
      </c>
      <c r="G1456" s="18">
        <v>1</v>
      </c>
      <c r="H1456" s="18">
        <v>0</v>
      </c>
      <c r="I1456" s="18">
        <v>2</v>
      </c>
      <c r="J1456" s="18">
        <v>0</v>
      </c>
      <c r="K1456" s="18">
        <v>3</v>
      </c>
      <c r="L1456" s="18">
        <v>0</v>
      </c>
      <c r="M1456" s="18">
        <v>0</v>
      </c>
      <c r="T1456" s="3">
        <v>6</v>
      </c>
      <c r="U1456" s="3">
        <v>8</v>
      </c>
      <c r="V1456" s="3">
        <v>3</v>
      </c>
      <c r="X1456" s="2" t="s">
        <v>57</v>
      </c>
      <c r="Y1456" s="18">
        <v>2</v>
      </c>
      <c r="Z1456" s="18">
        <v>0</v>
      </c>
      <c r="AA1456" s="18">
        <v>4</v>
      </c>
      <c r="AB1456" s="18">
        <v>0</v>
      </c>
      <c r="AC1456" s="18">
        <v>0</v>
      </c>
      <c r="AD1456" s="18">
        <v>1</v>
      </c>
      <c r="AE1456" s="18">
        <v>0</v>
      </c>
      <c r="AF1456" s="18">
        <v>0</v>
      </c>
      <c r="AN1456" s="3">
        <v>7</v>
      </c>
      <c r="AO1456" s="3">
        <v>7</v>
      </c>
      <c r="AP1456" s="3">
        <v>5</v>
      </c>
      <c r="AR1456" s="2" t="s">
        <v>42</v>
      </c>
    </row>
    <row r="1457" spans="1:44" ht="12.75" customHeight="1">
      <c r="A1457" s="4">
        <v>14766</v>
      </c>
      <c r="C1457" s="2" t="s">
        <v>165</v>
      </c>
      <c r="D1457" s="2" t="s">
        <v>171</v>
      </c>
      <c r="E1457" s="18">
        <v>1</v>
      </c>
      <c r="F1457" s="18">
        <v>0</v>
      </c>
      <c r="G1457" s="18">
        <v>0</v>
      </c>
      <c r="H1457" s="18">
        <v>2</v>
      </c>
      <c r="I1457" s="18">
        <v>3</v>
      </c>
      <c r="J1457" s="18">
        <v>3</v>
      </c>
      <c r="K1457" s="18">
        <v>0</v>
      </c>
      <c r="L1457" s="18">
        <v>0</v>
      </c>
      <c r="M1457" s="18" t="s">
        <v>162</v>
      </c>
      <c r="T1457" s="3">
        <v>9</v>
      </c>
      <c r="U1457" s="3">
        <v>12</v>
      </c>
      <c r="V1457" s="3">
        <v>1</v>
      </c>
      <c r="X1457" s="2" t="s">
        <v>59</v>
      </c>
      <c r="Y1457" s="18">
        <v>0</v>
      </c>
      <c r="Z1457" s="18">
        <v>0</v>
      </c>
      <c r="AA1457" s="18">
        <v>0</v>
      </c>
      <c r="AB1457" s="18">
        <v>0</v>
      </c>
      <c r="AC1457" s="18">
        <v>1</v>
      </c>
      <c r="AD1457" s="18">
        <v>0</v>
      </c>
      <c r="AE1457" s="18">
        <v>0</v>
      </c>
      <c r="AF1457" s="18">
        <v>0</v>
      </c>
      <c r="AG1457" s="18">
        <v>0</v>
      </c>
      <c r="AN1457" s="3">
        <v>1</v>
      </c>
      <c r="AO1457" s="3">
        <v>7</v>
      </c>
      <c r="AP1457" s="3">
        <v>2</v>
      </c>
      <c r="AR1457" s="2" t="s">
        <v>42</v>
      </c>
    </row>
    <row r="1458" spans="1:44" ht="12.75" customHeight="1">
      <c r="A1458" s="4">
        <v>35928</v>
      </c>
      <c r="C1458" s="2" t="s">
        <v>254</v>
      </c>
      <c r="E1458" s="18">
        <v>0</v>
      </c>
      <c r="F1458" s="18">
        <v>0</v>
      </c>
      <c r="G1458" s="18">
        <v>0</v>
      </c>
      <c r="H1458" s="18">
        <v>0</v>
      </c>
      <c r="I1458" s="18">
        <v>0</v>
      </c>
      <c r="J1458" s="18">
        <v>2</v>
      </c>
      <c r="K1458" s="18">
        <v>0</v>
      </c>
      <c r="T1458" s="3">
        <f aca="true" t="shared" si="46" ref="T1458:T1470">SUM(E1458:S1458)</f>
        <v>2</v>
      </c>
      <c r="U1458" s="3">
        <v>7</v>
      </c>
      <c r="V1458" s="3">
        <v>4</v>
      </c>
      <c r="X1458" s="2" t="s">
        <v>1913</v>
      </c>
      <c r="Y1458" s="18">
        <v>3</v>
      </c>
      <c r="Z1458" s="18">
        <v>0</v>
      </c>
      <c r="AA1458" s="18">
        <v>0</v>
      </c>
      <c r="AB1458" s="18">
        <v>0</v>
      </c>
      <c r="AC1458" s="18">
        <v>0</v>
      </c>
      <c r="AD1458" s="18">
        <v>1</v>
      </c>
      <c r="AE1458" s="18">
        <v>1</v>
      </c>
      <c r="AN1458" s="3">
        <f aca="true" t="shared" si="47" ref="AN1458:AN1470">SUM(Y1458:AM1458)</f>
        <v>5</v>
      </c>
      <c r="AO1458" s="3">
        <v>9</v>
      </c>
      <c r="AP1458" s="3">
        <v>0</v>
      </c>
      <c r="AR1458" s="2" t="s">
        <v>2010</v>
      </c>
    </row>
    <row r="1459" spans="1:44" ht="12.75" customHeight="1">
      <c r="A1459" s="5">
        <v>36279</v>
      </c>
      <c r="B1459" s="2" t="s">
        <v>152</v>
      </c>
      <c r="C1459" s="2" t="s">
        <v>254</v>
      </c>
      <c r="E1459" s="18">
        <v>0</v>
      </c>
      <c r="F1459" s="18">
        <v>0</v>
      </c>
      <c r="G1459" s="18">
        <v>0</v>
      </c>
      <c r="H1459" s="18">
        <v>0</v>
      </c>
      <c r="I1459" s="18">
        <v>0</v>
      </c>
      <c r="T1459" s="3">
        <f t="shared" si="46"/>
        <v>0</v>
      </c>
      <c r="U1459" s="3">
        <v>1</v>
      </c>
      <c r="V1459" s="3">
        <v>3</v>
      </c>
      <c r="X1459" s="2" t="s">
        <v>615</v>
      </c>
      <c r="Y1459" s="18">
        <v>2</v>
      </c>
      <c r="Z1459" s="18">
        <v>4</v>
      </c>
      <c r="AA1459" s="18">
        <v>5</v>
      </c>
      <c r="AB1459" s="18">
        <v>0</v>
      </c>
      <c r="AC1459" s="18" t="s">
        <v>162</v>
      </c>
      <c r="AN1459" s="3">
        <f t="shared" si="47"/>
        <v>11</v>
      </c>
      <c r="AO1459" s="3">
        <v>10</v>
      </c>
      <c r="AP1459" s="3">
        <v>3</v>
      </c>
      <c r="AR1459" s="2" t="s">
        <v>616</v>
      </c>
    </row>
    <row r="1460" spans="1:44" ht="12.75" customHeight="1">
      <c r="A1460" s="4">
        <v>36643</v>
      </c>
      <c r="C1460" s="2" t="s">
        <v>254</v>
      </c>
      <c r="E1460" s="18">
        <v>1</v>
      </c>
      <c r="F1460" s="18">
        <v>0</v>
      </c>
      <c r="G1460" s="18">
        <v>0</v>
      </c>
      <c r="H1460" s="18">
        <v>3</v>
      </c>
      <c r="I1460" s="18">
        <v>0</v>
      </c>
      <c r="J1460" s="18">
        <v>0</v>
      </c>
      <c r="K1460" s="18">
        <v>0</v>
      </c>
      <c r="T1460" s="3">
        <f t="shared" si="46"/>
        <v>4</v>
      </c>
      <c r="U1460" s="3">
        <v>6</v>
      </c>
      <c r="V1460" s="3">
        <v>2</v>
      </c>
      <c r="X1460" s="2" t="s">
        <v>24</v>
      </c>
      <c r="Y1460" s="18">
        <v>1</v>
      </c>
      <c r="Z1460" s="18">
        <v>0</v>
      </c>
      <c r="AA1460" s="18">
        <v>7</v>
      </c>
      <c r="AB1460" s="18">
        <v>1</v>
      </c>
      <c r="AC1460" s="18">
        <v>1</v>
      </c>
      <c r="AD1460" s="18">
        <v>2</v>
      </c>
      <c r="AE1460" s="18">
        <v>0</v>
      </c>
      <c r="AN1460" s="3">
        <f t="shared" si="47"/>
        <v>12</v>
      </c>
      <c r="AO1460" s="3">
        <v>11</v>
      </c>
      <c r="AP1460" s="3">
        <v>0</v>
      </c>
      <c r="AR1460" s="2" t="s">
        <v>2393</v>
      </c>
    </row>
    <row r="1461" spans="1:44" ht="12.75" customHeight="1">
      <c r="A1461" s="5">
        <v>37005</v>
      </c>
      <c r="B1461" s="2" t="s">
        <v>152</v>
      </c>
      <c r="C1461" s="2" t="s">
        <v>254</v>
      </c>
      <c r="E1461" s="18">
        <v>0</v>
      </c>
      <c r="F1461" s="18">
        <v>0</v>
      </c>
      <c r="G1461" s="18">
        <v>4</v>
      </c>
      <c r="H1461" s="18">
        <v>0</v>
      </c>
      <c r="I1461" s="18">
        <v>0</v>
      </c>
      <c r="J1461" s="18">
        <v>0</v>
      </c>
      <c r="K1461" s="18">
        <v>0</v>
      </c>
      <c r="T1461" s="3">
        <f t="shared" si="46"/>
        <v>4</v>
      </c>
      <c r="U1461" s="3">
        <v>5</v>
      </c>
      <c r="V1461" s="3">
        <v>3</v>
      </c>
      <c r="X1461" s="2" t="s">
        <v>1915</v>
      </c>
      <c r="Y1461" s="18">
        <v>0</v>
      </c>
      <c r="Z1461" s="18">
        <v>0</v>
      </c>
      <c r="AA1461" s="18">
        <v>0</v>
      </c>
      <c r="AB1461" s="18">
        <v>6</v>
      </c>
      <c r="AC1461" s="18">
        <v>1</v>
      </c>
      <c r="AD1461" s="18">
        <v>1</v>
      </c>
      <c r="AE1461" s="18" t="s">
        <v>162</v>
      </c>
      <c r="AN1461" s="3">
        <f t="shared" si="47"/>
        <v>8</v>
      </c>
      <c r="AO1461" s="3">
        <v>4</v>
      </c>
      <c r="AP1461" s="3">
        <v>2</v>
      </c>
      <c r="AR1461" s="2" t="s">
        <v>109</v>
      </c>
    </row>
    <row r="1462" spans="1:44" ht="12.75" customHeight="1">
      <c r="A1462" s="8">
        <v>37372</v>
      </c>
      <c r="C1462" s="2" t="s">
        <v>254</v>
      </c>
      <c r="E1462" s="18">
        <v>0</v>
      </c>
      <c r="F1462" s="18">
        <v>0</v>
      </c>
      <c r="G1462" s="18">
        <v>2</v>
      </c>
      <c r="H1462" s="18">
        <v>0</v>
      </c>
      <c r="I1462" s="18">
        <v>3</v>
      </c>
      <c r="J1462" s="18">
        <v>0</v>
      </c>
      <c r="K1462" s="18">
        <v>1</v>
      </c>
      <c r="T1462" s="3">
        <f t="shared" si="46"/>
        <v>6</v>
      </c>
      <c r="U1462" s="3">
        <v>8</v>
      </c>
      <c r="V1462" s="3">
        <v>4</v>
      </c>
      <c r="X1462" s="2" t="s">
        <v>1110</v>
      </c>
      <c r="Y1462" s="18">
        <v>1</v>
      </c>
      <c r="Z1462" s="18">
        <v>0</v>
      </c>
      <c r="AA1462" s="18">
        <v>0</v>
      </c>
      <c r="AB1462" s="18">
        <v>3</v>
      </c>
      <c r="AC1462" s="18">
        <v>0</v>
      </c>
      <c r="AD1462" s="18">
        <v>0</v>
      </c>
      <c r="AE1462" s="18">
        <v>7</v>
      </c>
      <c r="AN1462" s="3">
        <f t="shared" si="47"/>
        <v>11</v>
      </c>
      <c r="AO1462" s="3">
        <v>12</v>
      </c>
      <c r="AP1462" s="3">
        <v>1</v>
      </c>
      <c r="AR1462" s="2" t="s">
        <v>1115</v>
      </c>
    </row>
    <row r="1463" spans="1:44" ht="12.75" customHeight="1">
      <c r="A1463" s="8">
        <v>37735</v>
      </c>
      <c r="B1463" s="2" t="s">
        <v>152</v>
      </c>
      <c r="C1463" s="2" t="s">
        <v>254</v>
      </c>
      <c r="E1463" s="18">
        <v>1</v>
      </c>
      <c r="F1463" s="18">
        <v>0</v>
      </c>
      <c r="G1463" s="18">
        <v>0</v>
      </c>
      <c r="H1463" s="18">
        <v>0</v>
      </c>
      <c r="I1463" s="18">
        <v>0</v>
      </c>
      <c r="J1463" s="18">
        <v>0</v>
      </c>
      <c r="K1463" s="18">
        <v>2</v>
      </c>
      <c r="L1463" s="18">
        <v>0</v>
      </c>
      <c r="T1463" s="3">
        <f t="shared" si="46"/>
        <v>3</v>
      </c>
      <c r="U1463" s="3">
        <v>7</v>
      </c>
      <c r="V1463" s="3">
        <v>3</v>
      </c>
      <c r="X1463" s="2" t="s">
        <v>579</v>
      </c>
      <c r="Y1463" s="18">
        <v>0</v>
      </c>
      <c r="Z1463" s="18">
        <v>0</v>
      </c>
      <c r="AA1463" s="18">
        <v>1</v>
      </c>
      <c r="AB1463" s="18">
        <v>0</v>
      </c>
      <c r="AC1463" s="18">
        <v>0</v>
      </c>
      <c r="AD1463" s="18">
        <v>2</v>
      </c>
      <c r="AE1463" s="18">
        <v>0</v>
      </c>
      <c r="AF1463" s="18">
        <v>1</v>
      </c>
      <c r="AN1463" s="3">
        <f t="shared" si="47"/>
        <v>4</v>
      </c>
      <c r="AO1463" s="3">
        <v>7</v>
      </c>
      <c r="AP1463" s="3">
        <v>1</v>
      </c>
      <c r="AR1463" s="2" t="s">
        <v>580</v>
      </c>
    </row>
    <row r="1464" spans="1:44" ht="12.75" customHeight="1">
      <c r="A1464" s="5">
        <v>38104</v>
      </c>
      <c r="C1464" s="2" t="s">
        <v>254</v>
      </c>
      <c r="E1464" s="18">
        <v>0</v>
      </c>
      <c r="F1464" s="18">
        <v>0</v>
      </c>
      <c r="G1464" s="18">
        <v>0</v>
      </c>
      <c r="H1464" s="18">
        <v>0</v>
      </c>
      <c r="I1464" s="18">
        <v>1</v>
      </c>
      <c r="J1464" s="18">
        <v>1</v>
      </c>
      <c r="K1464" s="18">
        <v>0</v>
      </c>
      <c r="T1464" s="3">
        <f t="shared" si="46"/>
        <v>2</v>
      </c>
      <c r="U1464" s="3">
        <v>6</v>
      </c>
      <c r="V1464" s="3">
        <v>1</v>
      </c>
      <c r="X1464" s="2" t="s">
        <v>522</v>
      </c>
      <c r="Y1464" s="18">
        <v>0</v>
      </c>
      <c r="Z1464" s="18">
        <v>0</v>
      </c>
      <c r="AA1464" s="18">
        <v>0</v>
      </c>
      <c r="AB1464" s="18">
        <v>2</v>
      </c>
      <c r="AC1464" s="18">
        <v>1</v>
      </c>
      <c r="AD1464" s="18">
        <v>1</v>
      </c>
      <c r="AE1464" s="18">
        <v>1</v>
      </c>
      <c r="AN1464" s="3">
        <f t="shared" si="47"/>
        <v>5</v>
      </c>
      <c r="AO1464" s="3">
        <v>10</v>
      </c>
      <c r="AP1464" s="3">
        <v>2</v>
      </c>
      <c r="AR1464" s="2" t="s">
        <v>523</v>
      </c>
    </row>
    <row r="1465" spans="1:44" ht="12.75" customHeight="1">
      <c r="A1465" s="5">
        <f>DATE(2005,4,22)</f>
        <v>38464</v>
      </c>
      <c r="B1465" s="2" t="s">
        <v>152</v>
      </c>
      <c r="C1465" s="2" t="s">
        <v>254</v>
      </c>
      <c r="E1465" s="18">
        <v>0</v>
      </c>
      <c r="F1465" s="18">
        <v>2</v>
      </c>
      <c r="G1465" s="18">
        <v>1</v>
      </c>
      <c r="H1465" s="18">
        <v>1</v>
      </c>
      <c r="I1465" s="18">
        <v>0</v>
      </c>
      <c r="J1465" s="18">
        <v>0</v>
      </c>
      <c r="K1465" s="18">
        <v>0</v>
      </c>
      <c r="L1465" s="18">
        <v>1</v>
      </c>
      <c r="T1465" s="3">
        <f t="shared" si="46"/>
        <v>5</v>
      </c>
      <c r="U1465" s="3">
        <v>10</v>
      </c>
      <c r="V1465" s="3">
        <v>0</v>
      </c>
      <c r="X1465" s="2" t="s">
        <v>425</v>
      </c>
      <c r="Y1465" s="18">
        <v>1</v>
      </c>
      <c r="Z1465" s="18">
        <v>0</v>
      </c>
      <c r="AA1465" s="18">
        <v>0</v>
      </c>
      <c r="AB1465" s="18">
        <v>2</v>
      </c>
      <c r="AC1465" s="18">
        <v>1</v>
      </c>
      <c r="AD1465" s="18">
        <v>0</v>
      </c>
      <c r="AE1465" s="18">
        <v>0</v>
      </c>
      <c r="AF1465" s="18">
        <v>0</v>
      </c>
      <c r="AN1465" s="3">
        <f t="shared" si="47"/>
        <v>4</v>
      </c>
      <c r="AO1465" s="3">
        <v>9</v>
      </c>
      <c r="AP1465" s="3">
        <v>1</v>
      </c>
      <c r="AR1465" s="2" t="s">
        <v>548</v>
      </c>
    </row>
    <row r="1466" spans="1:44" ht="12.75" customHeight="1">
      <c r="A1466" s="5">
        <v>38833</v>
      </c>
      <c r="C1466" s="2" t="s">
        <v>254</v>
      </c>
      <c r="E1466" s="18">
        <v>0</v>
      </c>
      <c r="F1466" s="18">
        <v>1</v>
      </c>
      <c r="G1466" s="18">
        <v>0</v>
      </c>
      <c r="H1466" s="18">
        <v>0</v>
      </c>
      <c r="I1466" s="18">
        <v>2</v>
      </c>
      <c r="J1466" s="18">
        <v>0</v>
      </c>
      <c r="K1466" s="18">
        <v>0</v>
      </c>
      <c r="T1466" s="3">
        <f t="shared" si="46"/>
        <v>3</v>
      </c>
      <c r="U1466" s="3">
        <v>3</v>
      </c>
      <c r="V1466" s="3">
        <v>2</v>
      </c>
      <c r="X1466" s="2" t="s">
        <v>1680</v>
      </c>
      <c r="Y1466" s="18">
        <v>0</v>
      </c>
      <c r="Z1466" s="18">
        <v>0</v>
      </c>
      <c r="AA1466" s="18">
        <v>0</v>
      </c>
      <c r="AB1466" s="18">
        <v>3</v>
      </c>
      <c r="AC1466" s="18">
        <v>0</v>
      </c>
      <c r="AD1466" s="18">
        <v>0</v>
      </c>
      <c r="AE1466" s="18">
        <v>3</v>
      </c>
      <c r="AN1466" s="3">
        <f t="shared" si="47"/>
        <v>6</v>
      </c>
      <c r="AO1466" s="3">
        <v>8</v>
      </c>
      <c r="AP1466" s="3">
        <v>1</v>
      </c>
      <c r="AR1466" s="2" t="s">
        <v>1670</v>
      </c>
    </row>
    <row r="1467" spans="1:44" ht="12.75" customHeight="1">
      <c r="A1467" s="5">
        <v>39195</v>
      </c>
      <c r="B1467" s="2" t="s">
        <v>152</v>
      </c>
      <c r="C1467" s="2" t="s">
        <v>254</v>
      </c>
      <c r="E1467" s="18">
        <v>0</v>
      </c>
      <c r="F1467" s="18">
        <v>0</v>
      </c>
      <c r="G1467" s="18">
        <v>0</v>
      </c>
      <c r="H1467" s="18">
        <v>0</v>
      </c>
      <c r="I1467" s="18">
        <v>1</v>
      </c>
      <c r="J1467" s="18">
        <v>0</v>
      </c>
      <c r="K1467" s="18">
        <v>3</v>
      </c>
      <c r="T1467" s="3">
        <f t="shared" si="46"/>
        <v>4</v>
      </c>
      <c r="U1467" s="3">
        <v>12</v>
      </c>
      <c r="V1467" s="3">
        <v>1</v>
      </c>
      <c r="X1467" s="2" t="s">
        <v>471</v>
      </c>
      <c r="Y1467" s="18">
        <v>0</v>
      </c>
      <c r="Z1467" s="18">
        <v>0</v>
      </c>
      <c r="AA1467" s="18">
        <v>0</v>
      </c>
      <c r="AB1467" s="18">
        <v>0</v>
      </c>
      <c r="AC1467" s="18">
        <v>2</v>
      </c>
      <c r="AD1467" s="18">
        <v>0</v>
      </c>
      <c r="AE1467" s="18">
        <v>3</v>
      </c>
      <c r="AN1467" s="3">
        <f t="shared" si="47"/>
        <v>5</v>
      </c>
      <c r="AO1467" s="3">
        <v>10</v>
      </c>
      <c r="AP1467" s="3">
        <v>0</v>
      </c>
      <c r="AR1467" s="2" t="s">
        <v>489</v>
      </c>
    </row>
    <row r="1468" spans="1:44" ht="12.75" customHeight="1">
      <c r="A1468" s="5">
        <v>39567</v>
      </c>
      <c r="C1468" s="2" t="s">
        <v>254</v>
      </c>
      <c r="E1468" s="18">
        <v>0</v>
      </c>
      <c r="F1468" s="18">
        <v>0</v>
      </c>
      <c r="G1468" s="18">
        <v>2</v>
      </c>
      <c r="H1468" s="18">
        <v>0</v>
      </c>
      <c r="I1468" s="18">
        <v>0</v>
      </c>
      <c r="J1468" s="18">
        <v>3</v>
      </c>
      <c r="K1468" s="18">
        <v>0</v>
      </c>
      <c r="T1468" s="3">
        <f t="shared" si="46"/>
        <v>5</v>
      </c>
      <c r="U1468" s="3">
        <v>5</v>
      </c>
      <c r="V1468" s="3">
        <v>7</v>
      </c>
      <c r="X1468" s="2" t="s">
        <v>978</v>
      </c>
      <c r="Y1468" s="18">
        <v>0</v>
      </c>
      <c r="Z1468" s="18">
        <v>0</v>
      </c>
      <c r="AA1468" s="18">
        <v>0</v>
      </c>
      <c r="AB1468" s="18">
        <v>1</v>
      </c>
      <c r="AC1468" s="18">
        <v>1</v>
      </c>
      <c r="AD1468" s="18">
        <v>3</v>
      </c>
      <c r="AE1468" s="18">
        <v>6</v>
      </c>
      <c r="AN1468" s="3">
        <f t="shared" si="47"/>
        <v>11</v>
      </c>
      <c r="AO1468" s="3">
        <v>9</v>
      </c>
      <c r="AP1468" s="3">
        <v>1</v>
      </c>
      <c r="AR1468" s="2" t="s">
        <v>639</v>
      </c>
    </row>
    <row r="1469" spans="1:44" ht="12.75" customHeight="1">
      <c r="A1469" s="5">
        <v>39945</v>
      </c>
      <c r="B1469" s="2" t="s">
        <v>152</v>
      </c>
      <c r="C1469" s="2" t="s">
        <v>254</v>
      </c>
      <c r="E1469" s="18">
        <v>2</v>
      </c>
      <c r="F1469" s="18">
        <v>1</v>
      </c>
      <c r="G1469" s="18">
        <v>0</v>
      </c>
      <c r="H1469" s="18">
        <v>2</v>
      </c>
      <c r="I1469" s="18">
        <v>0</v>
      </c>
      <c r="J1469" s="18">
        <v>0</v>
      </c>
      <c r="K1469" s="18">
        <v>0</v>
      </c>
      <c r="T1469" s="3">
        <f t="shared" si="46"/>
        <v>5</v>
      </c>
      <c r="U1469" s="3">
        <v>9</v>
      </c>
      <c r="V1469" s="3">
        <v>4</v>
      </c>
      <c r="X1469" s="2" t="s">
        <v>1168</v>
      </c>
      <c r="Y1469" s="18">
        <v>1</v>
      </c>
      <c r="Z1469" s="18">
        <v>1</v>
      </c>
      <c r="AA1469" s="18">
        <v>4</v>
      </c>
      <c r="AB1469" s="18">
        <v>0</v>
      </c>
      <c r="AC1469" s="18">
        <v>0</v>
      </c>
      <c r="AD1469" s="18">
        <v>7</v>
      </c>
      <c r="AE1469" s="18" t="s">
        <v>162</v>
      </c>
      <c r="AN1469" s="3">
        <f t="shared" si="47"/>
        <v>13</v>
      </c>
      <c r="AO1469" s="3">
        <v>13</v>
      </c>
      <c r="AP1469" s="3">
        <v>1</v>
      </c>
      <c r="AR1469" s="2" t="s">
        <v>1169</v>
      </c>
    </row>
    <row r="1470" spans="1:44" ht="12.75" customHeight="1">
      <c r="A1470" s="5">
        <v>40287</v>
      </c>
      <c r="C1470" s="2" t="s">
        <v>254</v>
      </c>
      <c r="E1470" s="18">
        <v>0</v>
      </c>
      <c r="F1470" s="18">
        <v>0</v>
      </c>
      <c r="G1470" s="18">
        <v>0</v>
      </c>
      <c r="H1470" s="18">
        <v>0</v>
      </c>
      <c r="I1470" s="18">
        <v>0</v>
      </c>
      <c r="J1470" s="18">
        <v>0</v>
      </c>
      <c r="K1470" s="18">
        <v>0</v>
      </c>
      <c r="T1470" s="3">
        <f t="shared" si="46"/>
        <v>0</v>
      </c>
      <c r="U1470" s="3">
        <v>5</v>
      </c>
      <c r="V1470" s="3">
        <v>3</v>
      </c>
      <c r="X1470" s="2" t="s">
        <v>775</v>
      </c>
      <c r="Y1470" s="18">
        <v>3</v>
      </c>
      <c r="Z1470" s="18">
        <v>1</v>
      </c>
      <c r="AA1470" s="18">
        <v>3</v>
      </c>
      <c r="AB1470" s="18">
        <v>0</v>
      </c>
      <c r="AC1470" s="18">
        <v>0</v>
      </c>
      <c r="AD1470" s="18">
        <v>0</v>
      </c>
      <c r="AE1470" s="18">
        <v>2</v>
      </c>
      <c r="AN1470" s="3">
        <f t="shared" si="47"/>
        <v>9</v>
      </c>
      <c r="AO1470" s="3">
        <v>12</v>
      </c>
      <c r="AP1470" s="3">
        <v>0</v>
      </c>
      <c r="AR1470" s="2" t="s">
        <v>774</v>
      </c>
    </row>
    <row r="1471" spans="1:44" ht="12.75" customHeight="1">
      <c r="A1471" s="4">
        <f>DATE(78,3,23)</f>
        <v>28572</v>
      </c>
      <c r="B1471" s="2" t="s">
        <v>152</v>
      </c>
      <c r="C1471" s="2" t="s">
        <v>1147</v>
      </c>
      <c r="E1471" s="18">
        <v>1</v>
      </c>
      <c r="F1471" s="18">
        <v>3</v>
      </c>
      <c r="G1471" s="18">
        <v>2</v>
      </c>
      <c r="H1471" s="18">
        <v>0</v>
      </c>
      <c r="I1471" s="18">
        <v>1</v>
      </c>
      <c r="J1471" s="18">
        <v>1</v>
      </c>
      <c r="K1471" s="18">
        <v>0</v>
      </c>
      <c r="T1471" s="3">
        <v>8</v>
      </c>
      <c r="U1471" s="3">
        <v>9</v>
      </c>
      <c r="V1471" s="3">
        <v>4</v>
      </c>
      <c r="X1471" s="2" t="s">
        <v>1070</v>
      </c>
      <c r="Y1471" s="18">
        <v>2</v>
      </c>
      <c r="Z1471" s="18">
        <v>0</v>
      </c>
      <c r="AA1471" s="18">
        <v>0</v>
      </c>
      <c r="AB1471" s="18">
        <v>2</v>
      </c>
      <c r="AC1471" s="18">
        <v>3</v>
      </c>
      <c r="AD1471" s="18">
        <v>0</v>
      </c>
      <c r="AE1471" s="18">
        <v>0</v>
      </c>
      <c r="AN1471" s="3">
        <v>7</v>
      </c>
      <c r="AO1471" s="3">
        <v>7</v>
      </c>
      <c r="AP1471" s="3">
        <v>4</v>
      </c>
      <c r="AR1471" s="2" t="s">
        <v>262</v>
      </c>
    </row>
    <row r="1472" spans="1:44" ht="12.75" customHeight="1">
      <c r="A1472" s="4">
        <f>DATE(78,3,24)</f>
        <v>28573</v>
      </c>
      <c r="B1472" s="2" t="s">
        <v>152</v>
      </c>
      <c r="C1472" s="2" t="s">
        <v>1147</v>
      </c>
      <c r="E1472" s="18">
        <v>1</v>
      </c>
      <c r="F1472" s="18">
        <v>0</v>
      </c>
      <c r="G1472" s="18">
        <v>1</v>
      </c>
      <c r="H1472" s="18">
        <v>3</v>
      </c>
      <c r="I1472" s="18">
        <v>1</v>
      </c>
      <c r="J1472" s="18">
        <v>2</v>
      </c>
      <c r="K1472" s="18">
        <v>0</v>
      </c>
      <c r="L1472" s="18">
        <v>2</v>
      </c>
      <c r="T1472" s="3">
        <v>10</v>
      </c>
      <c r="U1472" s="3">
        <v>7</v>
      </c>
      <c r="V1472" s="3">
        <v>4</v>
      </c>
      <c r="X1472" s="2" t="s">
        <v>1152</v>
      </c>
      <c r="Y1472" s="18">
        <v>3</v>
      </c>
      <c r="Z1472" s="18">
        <v>0</v>
      </c>
      <c r="AA1472" s="18">
        <v>0</v>
      </c>
      <c r="AB1472" s="18">
        <v>0</v>
      </c>
      <c r="AC1472" s="18">
        <v>4</v>
      </c>
      <c r="AD1472" s="18">
        <v>1</v>
      </c>
      <c r="AE1472" s="18">
        <v>0</v>
      </c>
      <c r="AF1472" s="18">
        <v>0</v>
      </c>
      <c r="AN1472" s="3">
        <v>8</v>
      </c>
      <c r="AO1472" s="3">
        <v>3</v>
      </c>
      <c r="AP1472" s="3">
        <v>8</v>
      </c>
      <c r="AR1472" s="2" t="s">
        <v>264</v>
      </c>
    </row>
    <row r="1473" spans="1:44" ht="12.75" customHeight="1">
      <c r="A1473" s="4">
        <v>15119</v>
      </c>
      <c r="C1473" s="2" t="s">
        <v>328</v>
      </c>
      <c r="D1473" s="2" t="s">
        <v>171</v>
      </c>
      <c r="E1473" s="18">
        <v>2</v>
      </c>
      <c r="F1473" s="18">
        <v>0</v>
      </c>
      <c r="G1473" s="18">
        <v>0</v>
      </c>
      <c r="H1473" s="18">
        <v>0</v>
      </c>
      <c r="I1473" s="18">
        <v>3</v>
      </c>
      <c r="J1473" s="18">
        <v>0</v>
      </c>
      <c r="K1473" s="18" t="s">
        <v>162</v>
      </c>
      <c r="T1473" s="3">
        <v>5</v>
      </c>
      <c r="U1473" s="3">
        <v>8</v>
      </c>
      <c r="V1473" s="3">
        <v>2</v>
      </c>
      <c r="X1473" s="2" t="s">
        <v>60</v>
      </c>
      <c r="Y1473" s="18">
        <v>1</v>
      </c>
      <c r="Z1473" s="18">
        <v>2</v>
      </c>
      <c r="AA1473" s="18">
        <v>0</v>
      </c>
      <c r="AB1473" s="18">
        <v>0</v>
      </c>
      <c r="AC1473" s="18">
        <v>0</v>
      </c>
      <c r="AD1473" s="18">
        <v>0</v>
      </c>
      <c r="AE1473" s="18">
        <v>0</v>
      </c>
      <c r="AN1473" s="3">
        <v>3</v>
      </c>
      <c r="AO1473" s="3">
        <v>5</v>
      </c>
      <c r="AP1473" s="3">
        <v>2</v>
      </c>
      <c r="AR1473" s="2" t="s">
        <v>51</v>
      </c>
    </row>
    <row r="1474" spans="1:44" ht="12.75" customHeight="1">
      <c r="A1474" s="4">
        <v>15123</v>
      </c>
      <c r="B1474" s="2" t="s">
        <v>152</v>
      </c>
      <c r="C1474" s="2" t="s">
        <v>328</v>
      </c>
      <c r="D1474" s="2" t="s">
        <v>171</v>
      </c>
      <c r="E1474" s="18">
        <v>1</v>
      </c>
      <c r="F1474" s="18">
        <v>0</v>
      </c>
      <c r="G1474" s="18">
        <v>0</v>
      </c>
      <c r="H1474" s="18">
        <v>0</v>
      </c>
      <c r="I1474" s="18">
        <v>6</v>
      </c>
      <c r="J1474" s="18">
        <v>0</v>
      </c>
      <c r="K1474" s="18">
        <v>0</v>
      </c>
      <c r="T1474" s="3">
        <v>7</v>
      </c>
      <c r="U1474" s="3">
        <v>8</v>
      </c>
      <c r="V1474" s="3" t="s">
        <v>162</v>
      </c>
      <c r="X1474" s="2" t="s">
        <v>60</v>
      </c>
      <c r="Y1474" s="18">
        <v>0</v>
      </c>
      <c r="Z1474" s="18">
        <v>1</v>
      </c>
      <c r="AA1474" s="18">
        <v>0</v>
      </c>
      <c r="AB1474" s="18">
        <v>0</v>
      </c>
      <c r="AC1474" s="18">
        <v>0</v>
      </c>
      <c r="AD1474" s="18">
        <v>0</v>
      </c>
      <c r="AN1474" s="3">
        <v>1</v>
      </c>
      <c r="AO1474" s="3">
        <v>2</v>
      </c>
      <c r="AP1474" s="3" t="s">
        <v>162</v>
      </c>
      <c r="AR1474" s="2" t="s">
        <v>51</v>
      </c>
    </row>
    <row r="1475" spans="1:44" ht="12.75" customHeight="1">
      <c r="A1475" s="4">
        <v>15487</v>
      </c>
      <c r="B1475" s="2" t="s">
        <v>152</v>
      </c>
      <c r="C1475" s="2" t="s">
        <v>328</v>
      </c>
      <c r="D1475" s="2" t="s">
        <v>171</v>
      </c>
      <c r="E1475" s="18">
        <v>0</v>
      </c>
      <c r="F1475" s="18">
        <v>0</v>
      </c>
      <c r="G1475" s="18">
        <v>0</v>
      </c>
      <c r="H1475" s="18">
        <v>3</v>
      </c>
      <c r="I1475" s="18">
        <v>0</v>
      </c>
      <c r="J1475" s="18">
        <v>4</v>
      </c>
      <c r="K1475" s="18">
        <v>1</v>
      </c>
      <c r="T1475" s="3">
        <v>8</v>
      </c>
      <c r="U1475" s="3" t="s">
        <v>162</v>
      </c>
      <c r="V1475" s="3" t="s">
        <v>162</v>
      </c>
      <c r="X1475" s="2" t="s">
        <v>66</v>
      </c>
      <c r="Y1475" s="18">
        <v>0</v>
      </c>
      <c r="Z1475" s="18">
        <v>0</v>
      </c>
      <c r="AA1475" s="18">
        <v>0</v>
      </c>
      <c r="AB1475" s="18">
        <v>0</v>
      </c>
      <c r="AC1475" s="18">
        <v>0</v>
      </c>
      <c r="AD1475" s="18">
        <v>0</v>
      </c>
      <c r="AE1475" s="18">
        <v>0</v>
      </c>
      <c r="AN1475" s="3">
        <v>0</v>
      </c>
      <c r="AO1475" s="3" t="s">
        <v>162</v>
      </c>
      <c r="AP1475" s="3" t="s">
        <v>162</v>
      </c>
      <c r="AR1475" s="2" t="s">
        <v>27</v>
      </c>
    </row>
    <row r="1476" spans="1:44" ht="12.75" customHeight="1">
      <c r="A1476" s="4">
        <v>15489</v>
      </c>
      <c r="C1476" s="2" t="s">
        <v>328</v>
      </c>
      <c r="D1476" s="2" t="s">
        <v>171</v>
      </c>
      <c r="E1476" s="18">
        <v>2</v>
      </c>
      <c r="F1476" s="18">
        <v>1</v>
      </c>
      <c r="G1476" s="18">
        <v>1</v>
      </c>
      <c r="H1476" s="18">
        <v>1</v>
      </c>
      <c r="I1476" s="18">
        <v>0</v>
      </c>
      <c r="J1476" s="18">
        <v>2</v>
      </c>
      <c r="K1476" s="18">
        <v>0</v>
      </c>
      <c r="T1476" s="3">
        <v>7</v>
      </c>
      <c r="U1476" s="3" t="s">
        <v>162</v>
      </c>
      <c r="V1476" s="3" t="s">
        <v>162</v>
      </c>
      <c r="X1476" s="2" t="s">
        <v>64</v>
      </c>
      <c r="Y1476" s="18">
        <v>0</v>
      </c>
      <c r="Z1476" s="18">
        <v>2</v>
      </c>
      <c r="AA1476" s="18">
        <v>7</v>
      </c>
      <c r="AB1476" s="18">
        <v>0</v>
      </c>
      <c r="AC1476" s="18">
        <v>0</v>
      </c>
      <c r="AD1476" s="18">
        <v>5</v>
      </c>
      <c r="AE1476" s="18">
        <v>0</v>
      </c>
      <c r="AN1476" s="3">
        <v>14</v>
      </c>
      <c r="AO1476" s="3" t="s">
        <v>162</v>
      </c>
      <c r="AP1476" s="3" t="s">
        <v>162</v>
      </c>
      <c r="AR1476" s="2" t="s">
        <v>28</v>
      </c>
    </row>
    <row r="1477" spans="1:44" ht="12.75" customHeight="1">
      <c r="A1477" s="4">
        <v>15493</v>
      </c>
      <c r="C1477" s="2" t="s">
        <v>328</v>
      </c>
      <c r="D1477" s="2" t="s">
        <v>171</v>
      </c>
      <c r="E1477" s="18">
        <v>0</v>
      </c>
      <c r="F1477" s="18">
        <v>1</v>
      </c>
      <c r="G1477" s="18">
        <v>0</v>
      </c>
      <c r="H1477" s="18">
        <v>1</v>
      </c>
      <c r="I1477" s="18">
        <v>0</v>
      </c>
      <c r="J1477" s="18">
        <v>0</v>
      </c>
      <c r="K1477" s="18">
        <v>0</v>
      </c>
      <c r="L1477" s="18">
        <v>0</v>
      </c>
      <c r="M1477" s="18" t="s">
        <v>162</v>
      </c>
      <c r="T1477" s="3">
        <v>2</v>
      </c>
      <c r="U1477" s="3" t="s">
        <v>162</v>
      </c>
      <c r="V1477" s="3" t="s">
        <v>162</v>
      </c>
      <c r="X1477" s="2" t="s">
        <v>68</v>
      </c>
      <c r="Y1477" s="18">
        <v>0</v>
      </c>
      <c r="Z1477" s="18">
        <v>0</v>
      </c>
      <c r="AA1477" s="18">
        <v>0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N1477" s="3">
        <v>0</v>
      </c>
      <c r="AO1477" s="3" t="s">
        <v>162</v>
      </c>
      <c r="AP1477" s="3" t="s">
        <v>162</v>
      </c>
      <c r="AR1477" s="2" t="s">
        <v>29</v>
      </c>
    </row>
    <row r="1478" spans="1:44" ht="12.75" customHeight="1">
      <c r="A1478" s="4">
        <f>DATE(81,3,28)</f>
        <v>29673</v>
      </c>
      <c r="B1478" s="2" t="s">
        <v>152</v>
      </c>
      <c r="C1478" s="2" t="s">
        <v>625</v>
      </c>
      <c r="E1478" s="18">
        <v>2</v>
      </c>
      <c r="F1478" s="18">
        <v>0</v>
      </c>
      <c r="G1478" s="18">
        <v>0</v>
      </c>
      <c r="H1478" s="18">
        <v>3</v>
      </c>
      <c r="I1478" s="18">
        <v>6</v>
      </c>
      <c r="J1478" s="18">
        <v>0</v>
      </c>
      <c r="K1478" s="18">
        <v>0</v>
      </c>
      <c r="T1478" s="3">
        <v>11</v>
      </c>
      <c r="U1478" s="3">
        <v>10</v>
      </c>
      <c r="V1478" s="3">
        <v>3</v>
      </c>
      <c r="X1478" s="2" t="s">
        <v>1256</v>
      </c>
      <c r="Y1478" s="18">
        <v>1</v>
      </c>
      <c r="Z1478" s="18">
        <v>0</v>
      </c>
      <c r="AA1478" s="18">
        <v>2</v>
      </c>
      <c r="AB1478" s="18">
        <v>0</v>
      </c>
      <c r="AC1478" s="18">
        <v>0</v>
      </c>
      <c r="AD1478" s="18">
        <v>0</v>
      </c>
      <c r="AE1478" s="18">
        <v>0</v>
      </c>
      <c r="AN1478" s="3">
        <v>3</v>
      </c>
      <c r="AO1478" s="3">
        <v>5</v>
      </c>
      <c r="AP1478" s="3">
        <v>2</v>
      </c>
      <c r="AR1478" s="2" t="s">
        <v>1318</v>
      </c>
    </row>
    <row r="1479" ht="12.75" customHeight="1">
      <c r="A1479" s="4"/>
    </row>
    <row r="1480" ht="12.75" customHeight="1">
      <c r="A1480" s="4"/>
    </row>
    <row r="1481" ht="12.75" customHeight="1">
      <c r="A1481" s="4"/>
    </row>
    <row r="1482" ht="12.75" customHeight="1">
      <c r="A1482" s="4"/>
    </row>
    <row r="1483" ht="12.75" customHeight="1">
      <c r="A1483" s="4"/>
    </row>
    <row r="1484" ht="12.75" customHeight="1">
      <c r="A1484" s="4"/>
    </row>
    <row r="1485" ht="12.75" customHeight="1">
      <c r="A1485" s="4"/>
    </row>
    <row r="1486" ht="12.75" customHeight="1">
      <c r="A1486" s="4"/>
    </row>
    <row r="1487" ht="12.75" customHeight="1">
      <c r="A1487" s="4"/>
    </row>
    <row r="1488" ht="12.75" customHeight="1">
      <c r="A1488" s="4"/>
    </row>
    <row r="1489" ht="12.75" customHeight="1">
      <c r="A1489" s="4"/>
    </row>
    <row r="1490" ht="12.75" customHeight="1">
      <c r="A1490" s="4"/>
    </row>
    <row r="1491" ht="12.75" customHeight="1">
      <c r="A1491" s="4"/>
    </row>
    <row r="1492" ht="12.75" customHeight="1">
      <c r="A1492" s="4"/>
    </row>
    <row r="1493" ht="12.75" customHeight="1">
      <c r="A1493" s="4"/>
    </row>
    <row r="1494" ht="12.75" customHeight="1">
      <c r="A1494" s="4"/>
    </row>
    <row r="1495" ht="12.75" customHeight="1">
      <c r="A1495" s="4"/>
    </row>
    <row r="1496" ht="12.75" customHeight="1">
      <c r="A1496" s="4"/>
    </row>
    <row r="1497" ht="12.75" customHeight="1">
      <c r="A1497" s="4"/>
    </row>
    <row r="1498" ht="12.75" customHeight="1">
      <c r="A1498" s="4"/>
    </row>
    <row r="1499" ht="12.75" customHeight="1">
      <c r="A1499" s="4"/>
    </row>
    <row r="1500" ht="12.75" customHeight="1">
      <c r="A1500" s="4"/>
    </row>
    <row r="1501" ht="12.75" customHeight="1">
      <c r="A1501" s="4"/>
    </row>
    <row r="1502" ht="12.75" customHeight="1">
      <c r="A1502" s="4"/>
    </row>
    <row r="1503" ht="12.75" customHeight="1">
      <c r="A1503" s="4"/>
    </row>
    <row r="1504" ht="12.75" customHeight="1">
      <c r="A1504" s="4"/>
    </row>
    <row r="1505" ht="12.75" customHeight="1">
      <c r="A1505" s="4"/>
    </row>
    <row r="1506" ht="12.75" customHeight="1">
      <c r="A1506" s="4"/>
    </row>
    <row r="1507" ht="12.75" customHeight="1">
      <c r="A1507" s="4"/>
    </row>
    <row r="1508" ht="12.75" customHeight="1">
      <c r="A1508" s="4"/>
    </row>
    <row r="1509" ht="12.75" customHeight="1">
      <c r="A1509" s="4"/>
    </row>
    <row r="1510" ht="12.75" customHeight="1">
      <c r="A1510" s="4"/>
    </row>
    <row r="1511" ht="12.75" customHeight="1">
      <c r="A1511" s="4"/>
    </row>
    <row r="1512" ht="12.75" customHeight="1">
      <c r="A1512" s="4"/>
    </row>
    <row r="1513" ht="12.75" customHeight="1">
      <c r="A1513" s="4"/>
    </row>
    <row r="1514" ht="12.75" customHeight="1">
      <c r="A1514" s="4"/>
    </row>
    <row r="1515" ht="12.75" customHeight="1">
      <c r="A1515" s="4"/>
    </row>
    <row r="1516" ht="12.75" customHeight="1">
      <c r="A1516" s="4"/>
    </row>
    <row r="1517" ht="12.75" customHeight="1">
      <c r="A1517" s="4"/>
    </row>
    <row r="1518" ht="12.75" customHeight="1">
      <c r="A1518" s="4"/>
    </row>
    <row r="1519" ht="12.75" customHeight="1">
      <c r="A1519" s="4"/>
    </row>
    <row r="1520" ht="12.75" customHeight="1">
      <c r="A1520" s="4"/>
    </row>
    <row r="1521" ht="12.75" customHeight="1">
      <c r="A1521" s="4"/>
    </row>
    <row r="1522" ht="12.75" customHeight="1">
      <c r="A1522" s="4"/>
    </row>
    <row r="1523" ht="12.75" customHeight="1">
      <c r="A1523" s="4"/>
    </row>
    <row r="1524" ht="12.75" customHeight="1">
      <c r="A1524" s="4"/>
    </row>
    <row r="1525" ht="12.75" customHeight="1">
      <c r="A1525" s="4"/>
    </row>
    <row r="1526" ht="12.75" customHeight="1">
      <c r="A1526" s="4"/>
    </row>
    <row r="1527" ht="12.75" customHeight="1">
      <c r="A1527" s="4"/>
    </row>
    <row r="1528" ht="12.75" customHeight="1">
      <c r="A1528" s="4"/>
    </row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>
      <c r="A1534" s="4"/>
    </row>
    <row r="1535" ht="12.75" customHeight="1">
      <c r="A1535" s="9"/>
    </row>
    <row r="1536" ht="12.75" customHeight="1">
      <c r="A1536" s="4"/>
    </row>
    <row r="1537" ht="12.75" customHeight="1">
      <c r="A1537" s="4"/>
    </row>
    <row r="1538" ht="12.75" customHeight="1"/>
    <row r="1539" ht="12.75" customHeight="1"/>
    <row r="1540" ht="12.75" customHeight="1"/>
  </sheetData>
  <sheetProtection/>
  <mergeCells count="2">
    <mergeCell ref="A1:AR1"/>
    <mergeCell ref="A2:AR2"/>
  </mergeCells>
  <printOptions/>
  <pageMargins left="0.7" right="0.7" top="0.75" bottom="0.75" header="0.3" footer="0.3"/>
  <pageSetup firstPageNumber="4" useFirstPageNumber="1" fitToHeight="0" fitToWidth="1" orientation="landscape" scale="73" r:id="rId1"/>
  <headerFooter>
    <oddFooter>&amp;C&amp;"Times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1" sqref="A1:G1"/>
    </sheetView>
  </sheetViews>
  <sheetFormatPr defaultColWidth="8.88671875" defaultRowHeight="15.75"/>
  <cols>
    <col min="1" max="1" width="15.77734375" style="0" customWidth="1"/>
    <col min="2" max="3" width="8.77734375" style="14" customWidth="1"/>
    <col min="4" max="4" width="8.77734375" style="17" customWidth="1"/>
    <col min="5" max="6" width="8.77734375" style="14" customWidth="1"/>
    <col min="7" max="7" width="10.77734375" style="0" bestFit="1" customWidth="1"/>
  </cols>
  <sheetData>
    <row r="1" spans="1:7" s="1" customFormat="1" ht="15">
      <c r="A1" s="32" t="s">
        <v>2332</v>
      </c>
      <c r="B1" s="32"/>
      <c r="C1" s="32"/>
      <c r="D1" s="32"/>
      <c r="E1" s="32"/>
      <c r="F1" s="32"/>
      <c r="G1" s="32"/>
    </row>
    <row r="2" spans="1:7" s="1" customFormat="1" ht="12.75">
      <c r="A2" s="33" t="s">
        <v>2333</v>
      </c>
      <c r="B2" s="33"/>
      <c r="C2" s="33"/>
      <c r="D2" s="33"/>
      <c r="E2" s="33"/>
      <c r="F2" s="33"/>
      <c r="G2" s="33"/>
    </row>
    <row r="3" spans="2:6" s="1" customFormat="1" ht="12.75">
      <c r="B3" s="12"/>
      <c r="C3" s="12"/>
      <c r="D3" s="16"/>
      <c r="E3" s="12"/>
      <c r="F3" s="12"/>
    </row>
    <row r="4" spans="2:7" s="1" customFormat="1" ht="12.75">
      <c r="B4" s="27" t="s">
        <v>2215</v>
      </c>
      <c r="C4" s="27" t="s">
        <v>2216</v>
      </c>
      <c r="D4" s="7" t="s">
        <v>2217</v>
      </c>
      <c r="E4" s="27" t="s">
        <v>2218</v>
      </c>
      <c r="F4" s="27" t="s">
        <v>2331</v>
      </c>
      <c r="G4" s="13" t="s">
        <v>2219</v>
      </c>
    </row>
    <row r="5" spans="1:7" s="1" customFormat="1" ht="12.75">
      <c r="A5" s="2" t="s">
        <v>168</v>
      </c>
      <c r="B5" s="15">
        <f>+C5+D5+E5</f>
        <v>50</v>
      </c>
      <c r="C5" s="21">
        <v>16</v>
      </c>
      <c r="D5" s="21">
        <v>33</v>
      </c>
      <c r="E5" s="21">
        <v>1</v>
      </c>
      <c r="F5" s="25">
        <f>((C5+(E5*0.5))/+B5)*1000</f>
        <v>330</v>
      </c>
      <c r="G5" s="5">
        <v>42871</v>
      </c>
    </row>
    <row r="6" spans="1:7" s="1" customFormat="1" ht="12.75">
      <c r="A6" s="2" t="s">
        <v>1447</v>
      </c>
      <c r="B6" s="15">
        <f aca="true" t="shared" si="0" ref="B6:B23">+C6+D6+E6</f>
        <v>1</v>
      </c>
      <c r="C6" s="21">
        <v>0</v>
      </c>
      <c r="D6" s="21">
        <v>1</v>
      </c>
      <c r="E6" s="21">
        <v>0</v>
      </c>
      <c r="F6" s="25">
        <f>((C6+(E6*0.5))/+B6)*1000</f>
        <v>0</v>
      </c>
      <c r="G6" s="4">
        <f>DATE(84,3,31)</f>
        <v>30772</v>
      </c>
    </row>
    <row r="7" spans="1:7" s="1" customFormat="1" ht="12.75">
      <c r="A7" s="2" t="s">
        <v>374</v>
      </c>
      <c r="B7" s="15">
        <f t="shared" si="0"/>
        <v>86</v>
      </c>
      <c r="C7" s="21">
        <v>52</v>
      </c>
      <c r="D7" s="21">
        <v>34</v>
      </c>
      <c r="E7" s="21">
        <v>0</v>
      </c>
      <c r="F7" s="25">
        <f aca="true" t="shared" si="1" ref="F7:F70">((C7+(E7*0.5))/+B7)*1000</f>
        <v>604.6511627906976</v>
      </c>
      <c r="G7" s="5">
        <v>44676</v>
      </c>
    </row>
    <row r="8" spans="1:7" s="1" customFormat="1" ht="12.75">
      <c r="A8" s="2" t="s">
        <v>382</v>
      </c>
      <c r="B8" s="15">
        <f t="shared" si="0"/>
        <v>18</v>
      </c>
      <c r="C8" s="21">
        <v>17</v>
      </c>
      <c r="D8" s="21">
        <v>1</v>
      </c>
      <c r="E8" s="21">
        <v>0</v>
      </c>
      <c r="F8" s="25">
        <f t="shared" si="1"/>
        <v>944.4444444444445</v>
      </c>
      <c r="G8" s="5">
        <v>36281</v>
      </c>
    </row>
    <row r="9" spans="1:7" s="1" customFormat="1" ht="12.75">
      <c r="A9" s="2" t="s">
        <v>304</v>
      </c>
      <c r="B9" s="15">
        <f t="shared" si="0"/>
        <v>2</v>
      </c>
      <c r="C9" s="21">
        <v>0</v>
      </c>
      <c r="D9" s="21">
        <v>2</v>
      </c>
      <c r="E9" s="21">
        <v>0</v>
      </c>
      <c r="F9" s="25">
        <f t="shared" si="1"/>
        <v>0</v>
      </c>
      <c r="G9" s="4">
        <f>DATE(83,4,30)</f>
        <v>30436</v>
      </c>
    </row>
    <row r="10" spans="1:7" s="1" customFormat="1" ht="12.75">
      <c r="A10" s="2" t="s">
        <v>174</v>
      </c>
      <c r="B10" s="15">
        <f t="shared" si="0"/>
        <v>109</v>
      </c>
      <c r="C10" s="21">
        <v>47</v>
      </c>
      <c r="D10" s="21">
        <v>60</v>
      </c>
      <c r="E10" s="21">
        <v>2</v>
      </c>
      <c r="F10" s="25">
        <f t="shared" si="1"/>
        <v>440.3669724770642</v>
      </c>
      <c r="G10" s="5">
        <v>44686</v>
      </c>
    </row>
    <row r="11" spans="1:7" s="1" customFormat="1" ht="12.75">
      <c r="A11" s="2" t="s">
        <v>132</v>
      </c>
      <c r="B11" s="15">
        <f t="shared" si="0"/>
        <v>1</v>
      </c>
      <c r="C11" s="21">
        <v>1</v>
      </c>
      <c r="D11" s="21">
        <v>0</v>
      </c>
      <c r="E11" s="21">
        <v>0</v>
      </c>
      <c r="F11" s="25">
        <f t="shared" si="1"/>
        <v>1000</v>
      </c>
      <c r="G11" s="4">
        <f>DATE(89,4,13)</f>
        <v>32611</v>
      </c>
    </row>
    <row r="12" spans="1:7" s="1" customFormat="1" ht="12.75">
      <c r="A12" s="2" t="s">
        <v>1355</v>
      </c>
      <c r="B12" s="15">
        <f t="shared" si="0"/>
        <v>1</v>
      </c>
      <c r="C12" s="21">
        <v>1</v>
      </c>
      <c r="D12" s="21">
        <v>0</v>
      </c>
      <c r="E12" s="21">
        <v>0</v>
      </c>
      <c r="F12" s="25">
        <f t="shared" si="1"/>
        <v>1000</v>
      </c>
      <c r="G12" s="4">
        <f>DATE(82,3,25)</f>
        <v>30035</v>
      </c>
    </row>
    <row r="13" spans="1:7" s="1" customFormat="1" ht="12.75">
      <c r="A13" s="2" t="s">
        <v>1145</v>
      </c>
      <c r="B13" s="15">
        <f t="shared" si="0"/>
        <v>1</v>
      </c>
      <c r="C13" s="21">
        <v>0</v>
      </c>
      <c r="D13" s="21">
        <v>1</v>
      </c>
      <c r="E13" s="21">
        <v>0</v>
      </c>
      <c r="F13" s="25">
        <f t="shared" si="1"/>
        <v>0</v>
      </c>
      <c r="G13" s="4">
        <f>DATE(78,3,23)</f>
        <v>28572</v>
      </c>
    </row>
    <row r="14" spans="1:7" s="1" customFormat="1" ht="12.75">
      <c r="A14" s="2" t="s">
        <v>1591</v>
      </c>
      <c r="B14" s="15">
        <f t="shared" si="0"/>
        <v>1</v>
      </c>
      <c r="C14" s="21">
        <v>0</v>
      </c>
      <c r="D14" s="21">
        <v>1</v>
      </c>
      <c r="E14" s="21">
        <v>0</v>
      </c>
      <c r="F14" s="25">
        <f t="shared" si="1"/>
        <v>0</v>
      </c>
      <c r="G14" s="4">
        <f>DATE(87,6,4)</f>
        <v>31932</v>
      </c>
    </row>
    <row r="15" spans="1:7" s="1" customFormat="1" ht="12.75">
      <c r="A15" s="2" t="s">
        <v>626</v>
      </c>
      <c r="B15" s="15">
        <f t="shared" si="0"/>
        <v>1</v>
      </c>
      <c r="C15" s="21">
        <v>0</v>
      </c>
      <c r="D15" s="21">
        <v>1</v>
      </c>
      <c r="E15" s="21">
        <v>0</v>
      </c>
      <c r="F15" s="25">
        <f t="shared" si="1"/>
        <v>0</v>
      </c>
      <c r="G15" s="4">
        <f>DATE(90,3,28)</f>
        <v>32960</v>
      </c>
    </row>
    <row r="16" spans="1:7" s="1" customFormat="1" ht="12.75">
      <c r="A16" s="2" t="s">
        <v>330</v>
      </c>
      <c r="B16" s="15">
        <f t="shared" si="0"/>
        <v>3</v>
      </c>
      <c r="C16" s="21">
        <v>2</v>
      </c>
      <c r="D16" s="21">
        <v>1</v>
      </c>
      <c r="E16" s="21">
        <v>0</v>
      </c>
      <c r="F16" s="25">
        <f t="shared" si="1"/>
        <v>666.6666666666666</v>
      </c>
      <c r="G16" s="4">
        <v>18042</v>
      </c>
    </row>
    <row r="17" spans="1:7" s="1" customFormat="1" ht="12.75">
      <c r="A17" s="2" t="s">
        <v>766</v>
      </c>
      <c r="B17" s="15">
        <f t="shared" si="0"/>
        <v>1</v>
      </c>
      <c r="C17" s="21">
        <v>1</v>
      </c>
      <c r="D17" s="21">
        <v>0</v>
      </c>
      <c r="E17" s="21">
        <v>0</v>
      </c>
      <c r="F17" s="25">
        <f t="shared" si="1"/>
        <v>1000</v>
      </c>
      <c r="G17" s="5">
        <v>40285</v>
      </c>
    </row>
    <row r="18" spans="1:7" s="1" customFormat="1" ht="12.75">
      <c r="A18" s="2" t="s">
        <v>385</v>
      </c>
      <c r="B18" s="15">
        <f t="shared" si="0"/>
        <v>10</v>
      </c>
      <c r="C18" s="21">
        <v>7</v>
      </c>
      <c r="D18" s="21">
        <v>3</v>
      </c>
      <c r="E18" s="21">
        <v>0</v>
      </c>
      <c r="F18" s="25">
        <f t="shared" si="1"/>
        <v>700</v>
      </c>
      <c r="G18" s="4">
        <f>DATE(85,4,26)</f>
        <v>31163</v>
      </c>
    </row>
    <row r="19" spans="1:7" s="1" customFormat="1" ht="12.75">
      <c r="A19" s="2" t="s">
        <v>2221</v>
      </c>
      <c r="B19" s="15">
        <f t="shared" si="0"/>
        <v>1</v>
      </c>
      <c r="C19" s="21">
        <v>0</v>
      </c>
      <c r="D19" s="21">
        <v>1</v>
      </c>
      <c r="E19" s="21">
        <v>0</v>
      </c>
      <c r="F19" s="25">
        <f t="shared" si="1"/>
        <v>0</v>
      </c>
      <c r="G19" s="5">
        <v>40264</v>
      </c>
    </row>
    <row r="20" spans="1:7" s="1" customFormat="1" ht="12.75">
      <c r="A20" s="2" t="s">
        <v>2220</v>
      </c>
      <c r="B20" s="15">
        <f t="shared" si="0"/>
        <v>4</v>
      </c>
      <c r="C20" s="21">
        <v>4</v>
      </c>
      <c r="D20" s="21">
        <v>0</v>
      </c>
      <c r="E20" s="21">
        <v>0</v>
      </c>
      <c r="F20" s="25">
        <f t="shared" si="1"/>
        <v>1000</v>
      </c>
      <c r="G20" s="5">
        <f>DATE(2005,4,16)</f>
        <v>38458</v>
      </c>
    </row>
    <row r="21" spans="1:7" s="1" customFormat="1" ht="12.75">
      <c r="A21" s="2" t="s">
        <v>292</v>
      </c>
      <c r="B21" s="15">
        <f t="shared" si="0"/>
        <v>1</v>
      </c>
      <c r="C21" s="21">
        <v>0</v>
      </c>
      <c r="D21" s="21">
        <v>1</v>
      </c>
      <c r="E21" s="21">
        <v>0</v>
      </c>
      <c r="F21" s="25">
        <f t="shared" si="1"/>
        <v>0</v>
      </c>
      <c r="G21" s="4">
        <f>DATE(80,6,9)</f>
        <v>29381</v>
      </c>
    </row>
    <row r="22" spans="1:7" s="1" customFormat="1" ht="12.75">
      <c r="A22" s="2" t="s">
        <v>622</v>
      </c>
      <c r="B22" s="15">
        <f t="shared" si="0"/>
        <v>1</v>
      </c>
      <c r="C22" s="21">
        <v>1</v>
      </c>
      <c r="D22" s="21">
        <v>0</v>
      </c>
      <c r="E22" s="21">
        <v>0</v>
      </c>
      <c r="F22" s="25">
        <f t="shared" si="1"/>
        <v>1000</v>
      </c>
      <c r="G22" s="4">
        <f>DATE(79,6,14)</f>
        <v>29020</v>
      </c>
    </row>
    <row r="23" spans="1:7" s="1" customFormat="1" ht="12.75">
      <c r="A23" s="2" t="s">
        <v>138</v>
      </c>
      <c r="B23" s="15">
        <f t="shared" si="0"/>
        <v>25</v>
      </c>
      <c r="C23" s="21">
        <v>21</v>
      </c>
      <c r="D23" s="21">
        <v>4</v>
      </c>
      <c r="E23" s="21">
        <v>0</v>
      </c>
      <c r="F23" s="25">
        <f t="shared" si="1"/>
        <v>840</v>
      </c>
      <c r="G23" s="5">
        <v>44695</v>
      </c>
    </row>
    <row r="24" spans="1:7" s="1" customFormat="1" ht="12.75">
      <c r="A24" s="2" t="s">
        <v>231</v>
      </c>
      <c r="B24" s="15">
        <f aca="true" t="shared" si="2" ref="B24:B69">+C24+D24+E24</f>
        <v>7</v>
      </c>
      <c r="C24" s="21">
        <v>4</v>
      </c>
      <c r="D24" s="21">
        <v>3</v>
      </c>
      <c r="E24" s="21">
        <v>0</v>
      </c>
      <c r="F24" s="25">
        <f t="shared" si="1"/>
        <v>571.4285714285714</v>
      </c>
      <c r="G24" s="4">
        <f>DATE(89,4,29)</f>
        <v>32627</v>
      </c>
    </row>
    <row r="25" spans="1:7" s="1" customFormat="1" ht="12.75">
      <c r="A25" s="2" t="s">
        <v>192</v>
      </c>
      <c r="B25" s="15">
        <f t="shared" si="2"/>
        <v>44</v>
      </c>
      <c r="C25" s="21">
        <v>33</v>
      </c>
      <c r="D25" s="21">
        <v>11</v>
      </c>
      <c r="E25" s="21">
        <v>0</v>
      </c>
      <c r="F25" s="25">
        <f t="shared" si="1"/>
        <v>750</v>
      </c>
      <c r="G25" s="5">
        <v>44655</v>
      </c>
    </row>
    <row r="26" spans="1:7" s="1" customFormat="1" ht="12.75">
      <c r="A26" s="2" t="s">
        <v>624</v>
      </c>
      <c r="B26" s="15">
        <f t="shared" si="2"/>
        <v>1</v>
      </c>
      <c r="C26" s="21">
        <v>1</v>
      </c>
      <c r="D26" s="21">
        <v>0</v>
      </c>
      <c r="E26" s="21">
        <v>0</v>
      </c>
      <c r="F26" s="25">
        <f t="shared" si="1"/>
        <v>1000</v>
      </c>
      <c r="G26" s="4">
        <f>DATE(88,4,1)</f>
        <v>32234</v>
      </c>
    </row>
    <row r="27" spans="1:7" s="1" customFormat="1" ht="12.75">
      <c r="A27" s="2" t="s">
        <v>1779</v>
      </c>
      <c r="B27" s="15">
        <f t="shared" si="2"/>
        <v>1</v>
      </c>
      <c r="C27" s="21">
        <v>1</v>
      </c>
      <c r="D27" s="21">
        <v>0</v>
      </c>
      <c r="E27" s="21">
        <v>0</v>
      </c>
      <c r="F27" s="25">
        <f t="shared" si="1"/>
        <v>1000</v>
      </c>
      <c r="G27" s="5">
        <v>39928</v>
      </c>
    </row>
    <row r="28" spans="1:7" s="1" customFormat="1" ht="12.75">
      <c r="A28" s="2" t="s">
        <v>943</v>
      </c>
      <c r="B28" s="15">
        <f t="shared" si="2"/>
        <v>20</v>
      </c>
      <c r="C28" s="21">
        <v>5</v>
      </c>
      <c r="D28" s="21">
        <v>15</v>
      </c>
      <c r="E28" s="21">
        <v>0</v>
      </c>
      <c r="F28" s="25">
        <f t="shared" si="1"/>
        <v>250</v>
      </c>
      <c r="G28" s="5">
        <v>44333</v>
      </c>
    </row>
    <row r="29" spans="1:7" s="1" customFormat="1" ht="12.75">
      <c r="A29" s="2" t="s">
        <v>2214</v>
      </c>
      <c r="B29" s="15">
        <f t="shared" si="2"/>
        <v>1</v>
      </c>
      <c r="C29" s="21">
        <v>1</v>
      </c>
      <c r="D29" s="21">
        <v>0</v>
      </c>
      <c r="E29" s="21">
        <v>0</v>
      </c>
      <c r="F29" s="25">
        <f t="shared" si="1"/>
        <v>1000</v>
      </c>
      <c r="G29" s="5">
        <v>39564</v>
      </c>
    </row>
    <row r="30" spans="1:7" s="1" customFormat="1" ht="12.75">
      <c r="A30" s="2" t="s">
        <v>2213</v>
      </c>
      <c r="B30" s="15">
        <f t="shared" si="2"/>
        <v>13</v>
      </c>
      <c r="C30" s="21">
        <v>7</v>
      </c>
      <c r="D30" s="21">
        <v>6</v>
      </c>
      <c r="E30" s="21">
        <v>0</v>
      </c>
      <c r="F30" s="25">
        <f t="shared" si="1"/>
        <v>538.4615384615385</v>
      </c>
      <c r="G30" s="5">
        <v>41393</v>
      </c>
    </row>
    <row r="31" spans="1:7" s="1" customFormat="1" ht="12.75">
      <c r="A31" s="2" t="s">
        <v>282</v>
      </c>
      <c r="B31" s="15">
        <f t="shared" si="2"/>
        <v>1</v>
      </c>
      <c r="C31" s="21">
        <v>0</v>
      </c>
      <c r="D31" s="21">
        <v>1</v>
      </c>
      <c r="E31" s="21">
        <v>0</v>
      </c>
      <c r="F31" s="25">
        <f t="shared" si="1"/>
        <v>0</v>
      </c>
      <c r="G31" s="4">
        <f>DATE(79,6,15)</f>
        <v>29021</v>
      </c>
    </row>
    <row r="32" spans="1:7" s="1" customFormat="1" ht="12.75">
      <c r="A32" s="2" t="s">
        <v>1240</v>
      </c>
      <c r="B32" s="15">
        <f t="shared" si="2"/>
        <v>2</v>
      </c>
      <c r="C32" s="21">
        <v>1</v>
      </c>
      <c r="D32" s="21">
        <v>1</v>
      </c>
      <c r="E32" s="21">
        <v>0</v>
      </c>
      <c r="F32" s="25">
        <f t="shared" si="1"/>
        <v>500</v>
      </c>
      <c r="G32" s="4">
        <f>DATE(84,3,30)</f>
        <v>30771</v>
      </c>
    </row>
    <row r="33" spans="1:7" s="1" customFormat="1" ht="12.75">
      <c r="A33" s="2" t="s">
        <v>388</v>
      </c>
      <c r="B33" s="15">
        <f t="shared" si="2"/>
        <v>12</v>
      </c>
      <c r="C33" s="21">
        <v>11</v>
      </c>
      <c r="D33" s="21">
        <v>1</v>
      </c>
      <c r="E33" s="21">
        <v>0</v>
      </c>
      <c r="F33" s="25">
        <f t="shared" si="1"/>
        <v>916.6666666666666</v>
      </c>
      <c r="G33" s="4">
        <f>DATE(88,5,11)</f>
        <v>32274</v>
      </c>
    </row>
    <row r="34" spans="1:7" s="1" customFormat="1" ht="12.75">
      <c r="A34" s="2" t="s">
        <v>247</v>
      </c>
      <c r="B34" s="15">
        <f t="shared" si="2"/>
        <v>2</v>
      </c>
      <c r="C34" s="21">
        <v>0</v>
      </c>
      <c r="D34" s="21">
        <v>2</v>
      </c>
      <c r="E34" s="21">
        <v>0</v>
      </c>
      <c r="F34" s="25">
        <f t="shared" si="1"/>
        <v>0</v>
      </c>
      <c r="G34" s="4">
        <f>DATE(71,6,9)</f>
        <v>26093</v>
      </c>
    </row>
    <row r="35" spans="1:7" s="1" customFormat="1" ht="12.75">
      <c r="A35" s="2" t="s">
        <v>133</v>
      </c>
      <c r="B35" s="15">
        <f t="shared" si="2"/>
        <v>2</v>
      </c>
      <c r="C35" s="21">
        <v>1</v>
      </c>
      <c r="D35" s="21">
        <v>1</v>
      </c>
      <c r="E35" s="21">
        <v>0</v>
      </c>
      <c r="F35" s="25">
        <f t="shared" si="1"/>
        <v>500</v>
      </c>
      <c r="G35" s="4">
        <f>DATE(89,6,8)</f>
        <v>32667</v>
      </c>
    </row>
    <row r="36" spans="1:7" s="1" customFormat="1" ht="12.75">
      <c r="A36" s="2" t="s">
        <v>327</v>
      </c>
      <c r="B36" s="15">
        <f t="shared" si="2"/>
        <v>9</v>
      </c>
      <c r="C36" s="21">
        <v>8</v>
      </c>
      <c r="D36" s="21">
        <v>1</v>
      </c>
      <c r="E36" s="21">
        <v>0</v>
      </c>
      <c r="F36" s="25">
        <f t="shared" si="1"/>
        <v>888.8888888888888</v>
      </c>
      <c r="G36" s="4">
        <v>17301</v>
      </c>
    </row>
    <row r="37" spans="1:7" s="1" customFormat="1" ht="12.75">
      <c r="A37" s="2" t="s">
        <v>169</v>
      </c>
      <c r="B37" s="15">
        <f t="shared" si="2"/>
        <v>74</v>
      </c>
      <c r="C37" s="21">
        <v>52</v>
      </c>
      <c r="D37" s="21">
        <v>22</v>
      </c>
      <c r="E37" s="21">
        <v>0</v>
      </c>
      <c r="F37" s="25">
        <f t="shared" si="1"/>
        <v>702.7027027027027</v>
      </c>
      <c r="G37" s="5">
        <v>44699</v>
      </c>
    </row>
    <row r="38" spans="1:7" s="1" customFormat="1" ht="12.75">
      <c r="A38" s="2" t="s">
        <v>191</v>
      </c>
      <c r="B38" s="15">
        <f t="shared" si="2"/>
        <v>75</v>
      </c>
      <c r="C38" s="21">
        <v>34</v>
      </c>
      <c r="D38" s="21">
        <v>41</v>
      </c>
      <c r="E38" s="21">
        <v>0</v>
      </c>
      <c r="F38" s="25">
        <f t="shared" si="1"/>
        <v>453.3333333333333</v>
      </c>
      <c r="G38" s="5">
        <v>44679</v>
      </c>
    </row>
    <row r="39" spans="1:7" s="1" customFormat="1" ht="12.75">
      <c r="A39" s="2" t="s">
        <v>2212</v>
      </c>
      <c r="B39" s="15">
        <f t="shared" si="2"/>
        <v>1</v>
      </c>
      <c r="C39" s="21">
        <v>1</v>
      </c>
      <c r="D39" s="21">
        <v>0</v>
      </c>
      <c r="E39" s="21">
        <v>0</v>
      </c>
      <c r="F39" s="25">
        <f t="shared" si="1"/>
        <v>1000</v>
      </c>
      <c r="G39" s="4">
        <f>DATE(77,5,28)</f>
        <v>28273</v>
      </c>
    </row>
    <row r="40" spans="1:7" s="1" customFormat="1" ht="12.75">
      <c r="A40" s="2" t="s">
        <v>1246</v>
      </c>
      <c r="B40" s="15">
        <f t="shared" si="2"/>
        <v>2</v>
      </c>
      <c r="C40" s="21">
        <v>2</v>
      </c>
      <c r="D40" s="21">
        <v>0</v>
      </c>
      <c r="E40" s="21">
        <v>0</v>
      </c>
      <c r="F40" s="25">
        <f t="shared" si="1"/>
        <v>1000</v>
      </c>
      <c r="G40" s="4">
        <f>DATE(83,3,30)</f>
        <v>30405</v>
      </c>
    </row>
    <row r="41" spans="1:7" s="1" customFormat="1" ht="12.75">
      <c r="A41" s="2" t="s">
        <v>281</v>
      </c>
      <c r="B41" s="15">
        <f t="shared" si="2"/>
        <v>2</v>
      </c>
      <c r="C41" s="21">
        <v>2</v>
      </c>
      <c r="D41" s="21">
        <v>0</v>
      </c>
      <c r="E41" s="21">
        <v>0</v>
      </c>
      <c r="F41" s="25">
        <f t="shared" si="1"/>
        <v>1000</v>
      </c>
      <c r="G41" s="4">
        <f>DATE(79,6,13)</f>
        <v>29019</v>
      </c>
    </row>
    <row r="42" spans="1:7" s="1" customFormat="1" ht="12.75">
      <c r="A42" s="2" t="s">
        <v>1189</v>
      </c>
      <c r="B42" s="15">
        <f t="shared" si="2"/>
        <v>1</v>
      </c>
      <c r="C42" s="21">
        <v>1</v>
      </c>
      <c r="D42" s="21">
        <v>0</v>
      </c>
      <c r="E42" s="21">
        <v>0</v>
      </c>
      <c r="F42" s="25">
        <f t="shared" si="1"/>
        <v>1000</v>
      </c>
      <c r="G42" s="4">
        <f>DATE(79,3,23)</f>
        <v>28937</v>
      </c>
    </row>
    <row r="43" spans="1:7" s="1" customFormat="1" ht="12.75">
      <c r="A43" s="2" t="s">
        <v>393</v>
      </c>
      <c r="B43" s="15">
        <f t="shared" si="2"/>
        <v>2</v>
      </c>
      <c r="C43" s="21">
        <v>2</v>
      </c>
      <c r="D43" s="21">
        <v>0</v>
      </c>
      <c r="E43" s="21">
        <v>0</v>
      </c>
      <c r="F43" s="25">
        <f t="shared" si="1"/>
        <v>1000</v>
      </c>
      <c r="G43" s="4">
        <f>DATE(79,6,13)</f>
        <v>29019</v>
      </c>
    </row>
    <row r="44" spans="1:7" s="1" customFormat="1" ht="12.75">
      <c r="A44" s="2" t="s">
        <v>1628</v>
      </c>
      <c r="B44" s="15">
        <f t="shared" si="2"/>
        <v>1</v>
      </c>
      <c r="C44" s="21">
        <v>1</v>
      </c>
      <c r="D44" s="21">
        <v>0</v>
      </c>
      <c r="E44" s="21">
        <v>0</v>
      </c>
      <c r="F44" s="25">
        <f t="shared" si="1"/>
        <v>1000</v>
      </c>
      <c r="G44" s="4">
        <f>DATE(79,3,23)</f>
        <v>28937</v>
      </c>
    </row>
    <row r="45" spans="1:7" s="1" customFormat="1" ht="12.75">
      <c r="A45" s="2" t="s">
        <v>1594</v>
      </c>
      <c r="B45" s="15">
        <f t="shared" si="2"/>
        <v>1</v>
      </c>
      <c r="C45" s="21">
        <v>1</v>
      </c>
      <c r="D45" s="21">
        <v>0</v>
      </c>
      <c r="E45" s="21">
        <v>0</v>
      </c>
      <c r="F45" s="25">
        <f t="shared" si="1"/>
        <v>1000</v>
      </c>
      <c r="G45" s="4">
        <f>DATE(88,3,31)</f>
        <v>32233</v>
      </c>
    </row>
    <row r="46" spans="1:7" s="1" customFormat="1" ht="12.75">
      <c r="A46" s="2" t="s">
        <v>391</v>
      </c>
      <c r="B46" s="15">
        <f t="shared" si="2"/>
        <v>3</v>
      </c>
      <c r="C46" s="21">
        <v>2</v>
      </c>
      <c r="D46" s="21">
        <v>1</v>
      </c>
      <c r="E46" s="21">
        <v>0</v>
      </c>
      <c r="F46" s="25">
        <f t="shared" si="1"/>
        <v>666.6666666666666</v>
      </c>
      <c r="G46" s="5">
        <v>42105</v>
      </c>
    </row>
    <row r="47" spans="1:7" s="1" customFormat="1" ht="12.75">
      <c r="A47" s="2" t="s">
        <v>1444</v>
      </c>
      <c r="B47" s="15">
        <f t="shared" si="2"/>
        <v>1</v>
      </c>
      <c r="C47" s="21">
        <v>1</v>
      </c>
      <c r="D47" s="21">
        <v>0</v>
      </c>
      <c r="E47" s="21">
        <v>0</v>
      </c>
      <c r="F47" s="25">
        <f t="shared" si="1"/>
        <v>1000</v>
      </c>
      <c r="G47" s="4">
        <f>DATE(84,3,30)</f>
        <v>30771</v>
      </c>
    </row>
    <row r="48" spans="1:7" s="1" customFormat="1" ht="12.75">
      <c r="A48" s="2" t="s">
        <v>241</v>
      </c>
      <c r="B48" s="15">
        <f t="shared" si="2"/>
        <v>12</v>
      </c>
      <c r="C48" s="21">
        <v>11</v>
      </c>
      <c r="D48" s="21">
        <v>1</v>
      </c>
      <c r="E48" s="21">
        <v>0</v>
      </c>
      <c r="F48" s="25">
        <f t="shared" si="1"/>
        <v>916.6666666666666</v>
      </c>
      <c r="G48" s="4">
        <f>DATE(72,5,25)</f>
        <v>26444</v>
      </c>
    </row>
    <row r="49" spans="1:7" s="1" customFormat="1" ht="12.75">
      <c r="A49" s="2" t="s">
        <v>126</v>
      </c>
      <c r="B49" s="15">
        <f t="shared" si="2"/>
        <v>1</v>
      </c>
      <c r="C49" s="21">
        <v>1</v>
      </c>
      <c r="D49" s="21">
        <v>0</v>
      </c>
      <c r="E49" s="21">
        <v>0</v>
      </c>
      <c r="F49" s="25">
        <f t="shared" si="1"/>
        <v>1000</v>
      </c>
      <c r="G49" s="4">
        <f>DATE(87,6,2)</f>
        <v>31930</v>
      </c>
    </row>
    <row r="50" spans="1:7" s="1" customFormat="1" ht="12.75">
      <c r="A50" s="2" t="s">
        <v>249</v>
      </c>
      <c r="B50" s="15">
        <f t="shared" si="2"/>
        <v>4</v>
      </c>
      <c r="C50" s="21">
        <v>4</v>
      </c>
      <c r="D50" s="21">
        <v>0</v>
      </c>
      <c r="E50" s="21">
        <v>0</v>
      </c>
      <c r="F50" s="25">
        <f t="shared" si="1"/>
        <v>1000</v>
      </c>
      <c r="G50" s="4">
        <f>DATE(71,5,4)</f>
        <v>26057</v>
      </c>
    </row>
    <row r="51" spans="1:7" s="1" customFormat="1" ht="12.75">
      <c r="A51" s="2" t="s">
        <v>1515</v>
      </c>
      <c r="B51" s="15">
        <f t="shared" si="2"/>
        <v>1</v>
      </c>
      <c r="C51" s="21">
        <v>1</v>
      </c>
      <c r="D51" s="21">
        <v>0</v>
      </c>
      <c r="E51" s="21">
        <v>0</v>
      </c>
      <c r="F51" s="25">
        <f t="shared" si="1"/>
        <v>1000</v>
      </c>
      <c r="G51" s="4">
        <f>DATE(86,3,26)</f>
        <v>31497</v>
      </c>
    </row>
    <row r="52" spans="1:7" s="1" customFormat="1" ht="12.75">
      <c r="A52" s="2" t="s">
        <v>1244</v>
      </c>
      <c r="B52" s="15">
        <f t="shared" si="2"/>
        <v>1</v>
      </c>
      <c r="C52" s="21">
        <v>1</v>
      </c>
      <c r="D52" s="21">
        <v>0</v>
      </c>
      <c r="E52" s="21">
        <v>0</v>
      </c>
      <c r="F52" s="25">
        <f t="shared" si="1"/>
        <v>1000</v>
      </c>
      <c r="G52" s="4">
        <f>DATE(80,4,5)</f>
        <v>29316</v>
      </c>
    </row>
    <row r="53" spans="1:7" s="1" customFormat="1" ht="12.75">
      <c r="A53" s="2" t="s">
        <v>290</v>
      </c>
      <c r="B53" s="15">
        <f t="shared" si="2"/>
        <v>15</v>
      </c>
      <c r="C53" s="21">
        <v>10</v>
      </c>
      <c r="D53" s="21">
        <v>5</v>
      </c>
      <c r="E53" s="21">
        <v>0</v>
      </c>
      <c r="F53" s="25">
        <f t="shared" si="1"/>
        <v>666.6666666666666</v>
      </c>
      <c r="G53" s="5">
        <v>44692</v>
      </c>
    </row>
    <row r="54" spans="1:7" s="1" customFormat="1" ht="12.75">
      <c r="A54" s="2" t="s">
        <v>125</v>
      </c>
      <c r="B54" s="15">
        <f t="shared" si="2"/>
        <v>1</v>
      </c>
      <c r="C54" s="21">
        <v>0</v>
      </c>
      <c r="D54" s="21">
        <v>1</v>
      </c>
      <c r="E54" s="21">
        <v>0</v>
      </c>
      <c r="F54" s="25">
        <f t="shared" si="1"/>
        <v>0</v>
      </c>
      <c r="G54" s="4">
        <f>DATE(86,6,12)</f>
        <v>31575</v>
      </c>
    </row>
    <row r="55" spans="1:7" s="1" customFormat="1" ht="12.75">
      <c r="A55" s="2" t="s">
        <v>154</v>
      </c>
      <c r="B55" s="15">
        <f t="shared" si="2"/>
        <v>8</v>
      </c>
      <c r="C55" s="21">
        <v>6</v>
      </c>
      <c r="D55" s="21">
        <v>2</v>
      </c>
      <c r="E55" s="21">
        <v>0</v>
      </c>
      <c r="F55" s="25">
        <f t="shared" si="1"/>
        <v>750</v>
      </c>
      <c r="G55" s="4">
        <v>18016</v>
      </c>
    </row>
    <row r="56" spans="1:7" s="1" customFormat="1" ht="12.75">
      <c r="A56" s="2" t="s">
        <v>187</v>
      </c>
      <c r="B56" s="15">
        <f t="shared" si="2"/>
        <v>1</v>
      </c>
      <c r="C56" s="21">
        <v>0</v>
      </c>
      <c r="D56" s="21">
        <v>1</v>
      </c>
      <c r="E56" s="21">
        <v>0</v>
      </c>
      <c r="F56" s="25">
        <f t="shared" si="1"/>
        <v>0</v>
      </c>
      <c r="G56" s="4">
        <v>17281</v>
      </c>
    </row>
    <row r="57" spans="1:7" s="1" customFormat="1" ht="12.75">
      <c r="A57" s="2" t="s">
        <v>305</v>
      </c>
      <c r="B57" s="15">
        <f t="shared" si="2"/>
        <v>64</v>
      </c>
      <c r="C57" s="21">
        <v>39</v>
      </c>
      <c r="D57" s="21">
        <v>25</v>
      </c>
      <c r="E57" s="21">
        <v>0</v>
      </c>
      <c r="F57" s="25">
        <f t="shared" si="1"/>
        <v>609.375</v>
      </c>
      <c r="G57" s="5">
        <v>44690</v>
      </c>
    </row>
    <row r="58" spans="1:7" s="1" customFormat="1" ht="12.75">
      <c r="A58" s="2" t="s">
        <v>392</v>
      </c>
      <c r="B58" s="15">
        <f t="shared" si="2"/>
        <v>24</v>
      </c>
      <c r="C58" s="21">
        <v>9</v>
      </c>
      <c r="D58" s="21">
        <v>14</v>
      </c>
      <c r="E58" s="21">
        <v>1</v>
      </c>
      <c r="F58" s="25">
        <f t="shared" si="1"/>
        <v>395.8333333333333</v>
      </c>
      <c r="G58" s="5">
        <v>40663</v>
      </c>
    </row>
    <row r="59" spans="1:7" s="1" customFormat="1" ht="12.75">
      <c r="A59" s="2" t="s">
        <v>279</v>
      </c>
      <c r="B59" s="15">
        <f t="shared" si="2"/>
        <v>3</v>
      </c>
      <c r="C59" s="21">
        <v>2</v>
      </c>
      <c r="D59" s="21">
        <v>0</v>
      </c>
      <c r="E59" s="21">
        <v>1</v>
      </c>
      <c r="F59" s="25">
        <f t="shared" si="1"/>
        <v>833.3333333333334</v>
      </c>
      <c r="G59" s="5">
        <v>44295</v>
      </c>
    </row>
    <row r="60" spans="1:7" s="1" customFormat="1" ht="12.75">
      <c r="A60" s="2" t="s">
        <v>1907</v>
      </c>
      <c r="B60" s="15">
        <f t="shared" si="2"/>
        <v>2</v>
      </c>
      <c r="C60" s="21">
        <v>1</v>
      </c>
      <c r="D60" s="21">
        <v>1</v>
      </c>
      <c r="E60" s="21">
        <v>0</v>
      </c>
      <c r="F60" s="25">
        <f t="shared" si="1"/>
        <v>500</v>
      </c>
      <c r="G60" s="5">
        <v>36974</v>
      </c>
    </row>
    <row r="61" spans="1:7" s="1" customFormat="1" ht="12.75">
      <c r="A61" s="2" t="s">
        <v>1148</v>
      </c>
      <c r="B61" s="15">
        <f t="shared" si="2"/>
        <v>1</v>
      </c>
      <c r="C61" s="21">
        <v>1</v>
      </c>
      <c r="D61" s="21">
        <v>0</v>
      </c>
      <c r="E61" s="21">
        <v>0</v>
      </c>
      <c r="F61" s="25">
        <f t="shared" si="1"/>
        <v>1000</v>
      </c>
      <c r="G61" s="4">
        <f>DATE(78,3,24)</f>
        <v>28573</v>
      </c>
    </row>
    <row r="62" spans="1:7" s="1" customFormat="1" ht="12.75">
      <c r="A62" s="2" t="s">
        <v>1187</v>
      </c>
      <c r="B62" s="15">
        <f t="shared" si="2"/>
        <v>1</v>
      </c>
      <c r="C62" s="21">
        <v>1</v>
      </c>
      <c r="D62" s="21">
        <v>0</v>
      </c>
      <c r="E62" s="21">
        <v>0</v>
      </c>
      <c r="F62" s="25">
        <f t="shared" si="1"/>
        <v>1000</v>
      </c>
      <c r="G62" s="4">
        <f>DATE(79,3,22)</f>
        <v>28936</v>
      </c>
    </row>
    <row r="63" spans="1:7" s="1" customFormat="1" ht="12.75">
      <c r="A63" s="2" t="s">
        <v>1906</v>
      </c>
      <c r="B63" s="15">
        <f t="shared" si="2"/>
        <v>2</v>
      </c>
      <c r="C63" s="21">
        <v>2</v>
      </c>
      <c r="D63" s="21">
        <v>0</v>
      </c>
      <c r="E63" s="21">
        <v>0</v>
      </c>
      <c r="F63" s="25">
        <f t="shared" si="1"/>
        <v>1000</v>
      </c>
      <c r="G63" s="4">
        <v>36645</v>
      </c>
    </row>
    <row r="64" spans="1:7" s="1" customFormat="1" ht="12.75">
      <c r="A64" s="2" t="s">
        <v>462</v>
      </c>
      <c r="B64" s="15">
        <f t="shared" si="2"/>
        <v>1</v>
      </c>
      <c r="C64" s="21">
        <v>1</v>
      </c>
      <c r="D64" s="21">
        <v>0</v>
      </c>
      <c r="E64" s="21">
        <v>0</v>
      </c>
      <c r="F64" s="25">
        <f t="shared" si="1"/>
        <v>1000</v>
      </c>
      <c r="G64" s="5">
        <v>39191</v>
      </c>
    </row>
    <row r="65" spans="1:7" s="1" customFormat="1" ht="12.75">
      <c r="A65" s="2" t="s">
        <v>1973</v>
      </c>
      <c r="B65" s="15">
        <f t="shared" si="2"/>
        <v>1</v>
      </c>
      <c r="C65" s="21">
        <v>1</v>
      </c>
      <c r="D65" s="21">
        <v>0</v>
      </c>
      <c r="E65" s="21">
        <v>0</v>
      </c>
      <c r="F65" s="25">
        <f t="shared" si="1"/>
        <v>1000</v>
      </c>
      <c r="G65" s="5">
        <v>40669</v>
      </c>
    </row>
    <row r="66" spans="1:7" s="1" customFormat="1" ht="12.75">
      <c r="A66" s="2" t="s">
        <v>170</v>
      </c>
      <c r="B66" s="15">
        <f t="shared" si="2"/>
        <v>2</v>
      </c>
      <c r="C66" s="21">
        <v>1</v>
      </c>
      <c r="D66" s="21">
        <v>1</v>
      </c>
      <c r="E66" s="21">
        <v>0</v>
      </c>
      <c r="F66" s="25">
        <f t="shared" si="1"/>
        <v>500</v>
      </c>
      <c r="G66" s="4">
        <v>14754</v>
      </c>
    </row>
    <row r="67" spans="1:7" s="1" customFormat="1" ht="12.75">
      <c r="A67" s="2" t="s">
        <v>272</v>
      </c>
      <c r="B67" s="15">
        <f t="shared" si="2"/>
        <v>1</v>
      </c>
      <c r="C67" s="21">
        <v>0</v>
      </c>
      <c r="D67" s="21">
        <v>1</v>
      </c>
      <c r="E67" s="21">
        <v>0</v>
      </c>
      <c r="F67" s="25">
        <f t="shared" si="1"/>
        <v>0</v>
      </c>
      <c r="G67" s="4">
        <f>DATE(78,6,16)</f>
        <v>28657</v>
      </c>
    </row>
    <row r="68" spans="1:7" s="1" customFormat="1" ht="12.75">
      <c r="A68" s="2" t="s">
        <v>2047</v>
      </c>
      <c r="B68" s="15">
        <f t="shared" si="2"/>
        <v>1</v>
      </c>
      <c r="C68" s="21">
        <v>0</v>
      </c>
      <c r="D68" s="21">
        <v>1</v>
      </c>
      <c r="E68" s="21">
        <v>0</v>
      </c>
      <c r="F68" s="25">
        <f t="shared" si="1"/>
        <v>0</v>
      </c>
      <c r="G68" s="5">
        <v>41741</v>
      </c>
    </row>
    <row r="69" spans="1:7" s="1" customFormat="1" ht="12.75">
      <c r="A69" s="2" t="s">
        <v>383</v>
      </c>
      <c r="B69" s="15">
        <f t="shared" si="2"/>
        <v>1</v>
      </c>
      <c r="C69" s="21">
        <v>0</v>
      </c>
      <c r="D69" s="21">
        <v>1</v>
      </c>
      <c r="E69" s="21">
        <v>0</v>
      </c>
      <c r="F69" s="25">
        <f t="shared" si="1"/>
        <v>0</v>
      </c>
      <c r="G69" s="4">
        <f>DATE(74,5,22)</f>
        <v>27171</v>
      </c>
    </row>
    <row r="70" spans="1:7" s="1" customFormat="1" ht="12.75">
      <c r="A70" s="2" t="s">
        <v>137</v>
      </c>
      <c r="B70" s="15">
        <f aca="true" t="shared" si="3" ref="B70:B132">+C70+D70+E70</f>
        <v>23</v>
      </c>
      <c r="C70" s="21">
        <v>14</v>
      </c>
      <c r="D70" s="21">
        <v>9</v>
      </c>
      <c r="E70" s="21">
        <v>0</v>
      </c>
      <c r="F70" s="25">
        <f t="shared" si="1"/>
        <v>608.6956521739131</v>
      </c>
      <c r="G70" s="5">
        <v>40673</v>
      </c>
    </row>
    <row r="71" spans="1:7" s="1" customFormat="1" ht="12.75">
      <c r="A71" s="2" t="s">
        <v>378</v>
      </c>
      <c r="B71" s="15">
        <f t="shared" si="3"/>
        <v>22</v>
      </c>
      <c r="C71" s="21">
        <v>16</v>
      </c>
      <c r="D71" s="21">
        <v>6</v>
      </c>
      <c r="E71" s="21">
        <v>0</v>
      </c>
      <c r="F71" s="25">
        <f aca="true" t="shared" si="4" ref="F71:F133">((C71+(E71*0.5))/+B71)*1000</f>
        <v>727.2727272727273</v>
      </c>
      <c r="G71" s="5">
        <v>36291</v>
      </c>
    </row>
    <row r="72" spans="1:7" s="1" customFormat="1" ht="12.75">
      <c r="A72" s="2" t="s">
        <v>182</v>
      </c>
      <c r="B72" s="15">
        <f t="shared" si="3"/>
        <v>3</v>
      </c>
      <c r="C72" s="21">
        <v>0</v>
      </c>
      <c r="D72" s="21">
        <v>3</v>
      </c>
      <c r="E72" s="21">
        <v>0</v>
      </c>
      <c r="F72" s="25">
        <f t="shared" si="4"/>
        <v>0</v>
      </c>
      <c r="G72" s="4">
        <v>16923</v>
      </c>
    </row>
    <row r="73" spans="1:7" s="1" customFormat="1" ht="12.75">
      <c r="A73" s="2" t="s">
        <v>184</v>
      </c>
      <c r="B73" s="15">
        <f t="shared" si="3"/>
        <v>2</v>
      </c>
      <c r="C73" s="21">
        <v>1</v>
      </c>
      <c r="D73" s="21">
        <v>1</v>
      </c>
      <c r="E73" s="21">
        <v>0</v>
      </c>
      <c r="F73" s="25">
        <f t="shared" si="4"/>
        <v>500</v>
      </c>
      <c r="G73" s="4">
        <v>16937</v>
      </c>
    </row>
    <row r="74" spans="1:7" s="1" customFormat="1" ht="12.75">
      <c r="A74" s="2" t="s">
        <v>373</v>
      </c>
      <c r="B74" s="15">
        <f t="shared" si="3"/>
        <v>3</v>
      </c>
      <c r="C74" s="21">
        <v>3</v>
      </c>
      <c r="D74" s="21">
        <v>0</v>
      </c>
      <c r="E74" s="21">
        <v>0</v>
      </c>
      <c r="F74" s="25">
        <f t="shared" si="4"/>
        <v>1000</v>
      </c>
      <c r="G74" s="4">
        <f>DATE(81,4,18)</f>
        <v>29694</v>
      </c>
    </row>
    <row r="75" spans="1:7" s="1" customFormat="1" ht="12.75">
      <c r="A75" s="2" t="s">
        <v>1910</v>
      </c>
      <c r="B75" s="15">
        <f t="shared" si="3"/>
        <v>9</v>
      </c>
      <c r="C75" s="21">
        <v>5</v>
      </c>
      <c r="D75" s="21">
        <v>4</v>
      </c>
      <c r="E75" s="21">
        <v>0</v>
      </c>
      <c r="F75" s="25">
        <f t="shared" si="4"/>
        <v>555.5555555555555</v>
      </c>
      <c r="G75" s="5">
        <v>39529</v>
      </c>
    </row>
    <row r="76" spans="1:7" s="1" customFormat="1" ht="12.75">
      <c r="A76" s="2" t="s">
        <v>2225</v>
      </c>
      <c r="B76" s="15">
        <f t="shared" si="3"/>
        <v>1</v>
      </c>
      <c r="C76" s="21">
        <v>0</v>
      </c>
      <c r="D76" s="21">
        <v>1</v>
      </c>
      <c r="E76" s="21">
        <v>0</v>
      </c>
      <c r="F76" s="25">
        <f t="shared" si="4"/>
        <v>0</v>
      </c>
      <c r="G76" s="5">
        <v>44354</v>
      </c>
    </row>
    <row r="77" spans="1:7" s="1" customFormat="1" ht="12.75">
      <c r="A77" s="2" t="s">
        <v>273</v>
      </c>
      <c r="B77" s="15">
        <f t="shared" si="3"/>
        <v>1</v>
      </c>
      <c r="C77" s="21">
        <v>1</v>
      </c>
      <c r="D77" s="21">
        <v>0</v>
      </c>
      <c r="E77" s="21">
        <v>0</v>
      </c>
      <c r="F77" s="25">
        <f t="shared" si="4"/>
        <v>1000</v>
      </c>
      <c r="G77" s="4">
        <f>DATE(79,3,22)</f>
        <v>28936</v>
      </c>
    </row>
    <row r="78" spans="1:7" s="1" customFormat="1" ht="12.75">
      <c r="A78" s="2" t="s">
        <v>178</v>
      </c>
      <c r="B78" s="15">
        <f t="shared" si="3"/>
        <v>2</v>
      </c>
      <c r="C78" s="21">
        <v>2</v>
      </c>
      <c r="D78" s="21">
        <v>0</v>
      </c>
      <c r="E78" s="21">
        <v>0</v>
      </c>
      <c r="F78" s="25">
        <f t="shared" si="4"/>
        <v>1000</v>
      </c>
      <c r="G78" s="4">
        <v>15477</v>
      </c>
    </row>
    <row r="79" spans="1:7" s="1" customFormat="1" ht="12.75">
      <c r="A79" s="2" t="s">
        <v>331</v>
      </c>
      <c r="B79" s="15">
        <f t="shared" si="3"/>
        <v>31</v>
      </c>
      <c r="C79" s="21">
        <v>22</v>
      </c>
      <c r="D79" s="21">
        <v>8</v>
      </c>
      <c r="E79" s="21">
        <v>1</v>
      </c>
      <c r="F79" s="25">
        <f t="shared" si="4"/>
        <v>725.8064516129033</v>
      </c>
      <c r="G79" s="4">
        <f>DATE(77,5,13)</f>
        <v>28258</v>
      </c>
    </row>
    <row r="80" spans="1:7" s="1" customFormat="1" ht="12.75">
      <c r="A80" s="2" t="s">
        <v>389</v>
      </c>
      <c r="B80" s="15">
        <f t="shared" si="3"/>
        <v>1</v>
      </c>
      <c r="C80" s="21">
        <v>1</v>
      </c>
      <c r="D80" s="21">
        <v>0</v>
      </c>
      <c r="E80" s="21">
        <v>0</v>
      </c>
      <c r="F80" s="25">
        <f t="shared" si="4"/>
        <v>1000</v>
      </c>
      <c r="G80" s="4">
        <f>DATE(84,3,31)</f>
        <v>30772</v>
      </c>
    </row>
    <row r="81" spans="1:7" s="1" customFormat="1" ht="12.75">
      <c r="A81" s="2" t="s">
        <v>368</v>
      </c>
      <c r="B81" s="15">
        <f t="shared" si="3"/>
        <v>6</v>
      </c>
      <c r="C81" s="21">
        <v>3</v>
      </c>
      <c r="D81" s="21">
        <v>3</v>
      </c>
      <c r="E81" s="21">
        <v>0</v>
      </c>
      <c r="F81" s="25">
        <f t="shared" si="4"/>
        <v>500</v>
      </c>
      <c r="G81" s="4">
        <f>DATE(56,5,18)</f>
        <v>20593</v>
      </c>
    </row>
    <row r="82" spans="1:7" s="1" customFormat="1" ht="12.75">
      <c r="A82" s="2" t="s">
        <v>623</v>
      </c>
      <c r="B82" s="15">
        <f t="shared" si="3"/>
        <v>1</v>
      </c>
      <c r="C82" s="21">
        <v>1</v>
      </c>
      <c r="D82" s="21">
        <v>0</v>
      </c>
      <c r="E82" s="21">
        <v>0</v>
      </c>
      <c r="F82" s="25">
        <f t="shared" si="4"/>
        <v>1000</v>
      </c>
      <c r="G82" s="4">
        <f>DATE(80,4,2)</f>
        <v>29313</v>
      </c>
    </row>
    <row r="83" spans="1:7" s="1" customFormat="1" ht="12.75">
      <c r="A83" s="2" t="s">
        <v>932</v>
      </c>
      <c r="B83" s="15">
        <f t="shared" si="3"/>
        <v>4</v>
      </c>
      <c r="C83" s="21">
        <v>3</v>
      </c>
      <c r="D83" s="21">
        <v>1</v>
      </c>
      <c r="E83" s="21">
        <v>0</v>
      </c>
      <c r="F83" s="25">
        <f t="shared" si="4"/>
        <v>750</v>
      </c>
      <c r="G83" s="5">
        <v>40991</v>
      </c>
    </row>
    <row r="84" spans="1:7" s="1" customFormat="1" ht="12.75">
      <c r="A84" s="2" t="s">
        <v>394</v>
      </c>
      <c r="B84" s="15">
        <f t="shared" si="3"/>
        <v>1</v>
      </c>
      <c r="C84" s="21">
        <v>0</v>
      </c>
      <c r="D84" s="21">
        <v>1</v>
      </c>
      <c r="E84" s="21">
        <v>0</v>
      </c>
      <c r="F84" s="25">
        <f t="shared" si="4"/>
        <v>0</v>
      </c>
      <c r="G84" s="4">
        <f>DATE(91,6,7)</f>
        <v>33396</v>
      </c>
    </row>
    <row r="85" spans="1:7" s="1" customFormat="1" ht="12.75">
      <c r="A85" s="2" t="s">
        <v>1242</v>
      </c>
      <c r="B85" s="15">
        <f t="shared" si="3"/>
        <v>1</v>
      </c>
      <c r="C85" s="21">
        <v>0</v>
      </c>
      <c r="D85" s="21">
        <v>1</v>
      </c>
      <c r="E85" s="21">
        <v>0</v>
      </c>
      <c r="F85" s="25">
        <f t="shared" si="4"/>
        <v>0</v>
      </c>
      <c r="G85" s="4">
        <f>DATE(80,4,4)</f>
        <v>29315</v>
      </c>
    </row>
    <row r="86" spans="1:7" s="1" customFormat="1" ht="12.75">
      <c r="A86" s="2" t="s">
        <v>160</v>
      </c>
      <c r="B86" s="15">
        <f t="shared" si="3"/>
        <v>7</v>
      </c>
      <c r="C86" s="21">
        <v>5</v>
      </c>
      <c r="D86" s="21">
        <v>2</v>
      </c>
      <c r="E86" s="21">
        <v>0</v>
      </c>
      <c r="F86" s="25">
        <f t="shared" si="4"/>
        <v>714.2857142857143</v>
      </c>
      <c r="G86" s="4">
        <v>18029</v>
      </c>
    </row>
    <row r="87" spans="1:7" s="1" customFormat="1" ht="12.75">
      <c r="A87" s="2" t="s">
        <v>157</v>
      </c>
      <c r="B87" s="15">
        <f t="shared" si="3"/>
        <v>8</v>
      </c>
      <c r="C87" s="21">
        <v>6</v>
      </c>
      <c r="D87" s="21">
        <v>2</v>
      </c>
      <c r="E87" s="21">
        <v>0</v>
      </c>
      <c r="F87" s="25">
        <f t="shared" si="4"/>
        <v>750</v>
      </c>
      <c r="G87" s="4">
        <v>15474</v>
      </c>
    </row>
    <row r="88" spans="1:7" s="1" customFormat="1" ht="12.75">
      <c r="A88" s="2" t="s">
        <v>376</v>
      </c>
      <c r="B88" s="15">
        <f t="shared" si="3"/>
        <v>2</v>
      </c>
      <c r="C88" s="21">
        <v>1</v>
      </c>
      <c r="D88" s="21">
        <v>1</v>
      </c>
      <c r="E88" s="21">
        <v>0</v>
      </c>
      <c r="F88" s="25">
        <f t="shared" si="4"/>
        <v>500</v>
      </c>
      <c r="G88" s="4">
        <f>DATE(72,5,29)</f>
        <v>26448</v>
      </c>
    </row>
    <row r="89" spans="1:7" s="1" customFormat="1" ht="12.75">
      <c r="A89" s="2" t="s">
        <v>379</v>
      </c>
      <c r="B89" s="15">
        <f t="shared" si="3"/>
        <v>72</v>
      </c>
      <c r="C89" s="21">
        <v>57</v>
      </c>
      <c r="D89" s="21">
        <v>15</v>
      </c>
      <c r="E89" s="21">
        <v>0</v>
      </c>
      <c r="F89" s="25">
        <f t="shared" si="4"/>
        <v>791.6666666666666</v>
      </c>
      <c r="G89" s="5">
        <v>44693</v>
      </c>
    </row>
    <row r="90" spans="1:7" s="1" customFormat="1" ht="12.75">
      <c r="A90" s="2" t="s">
        <v>1232</v>
      </c>
      <c r="B90" s="15">
        <f t="shared" si="3"/>
        <v>2</v>
      </c>
      <c r="C90" s="21">
        <v>1</v>
      </c>
      <c r="D90" s="21">
        <v>1</v>
      </c>
      <c r="E90" s="21">
        <v>0</v>
      </c>
      <c r="F90" s="25">
        <f t="shared" si="4"/>
        <v>500</v>
      </c>
      <c r="G90" s="4">
        <f>DATE(80,4,3)</f>
        <v>29314</v>
      </c>
    </row>
    <row r="91" spans="1:7" s="1" customFormat="1" ht="12.75">
      <c r="A91" s="2" t="s">
        <v>153</v>
      </c>
      <c r="B91" s="15">
        <f t="shared" si="3"/>
        <v>31</v>
      </c>
      <c r="C91" s="21">
        <v>15</v>
      </c>
      <c r="D91" s="21">
        <v>16</v>
      </c>
      <c r="E91" s="21">
        <v>0</v>
      </c>
      <c r="F91" s="25">
        <f t="shared" si="4"/>
        <v>483.8709677419355</v>
      </c>
      <c r="G91" s="4">
        <f>DATE(59,5,4)</f>
        <v>21674</v>
      </c>
    </row>
    <row r="92" spans="1:7" s="1" customFormat="1" ht="12.75">
      <c r="A92" s="2" t="s">
        <v>236</v>
      </c>
      <c r="B92" s="15">
        <f t="shared" si="3"/>
        <v>106</v>
      </c>
      <c r="C92" s="21">
        <v>40</v>
      </c>
      <c r="D92" s="21">
        <v>65</v>
      </c>
      <c r="E92" s="21">
        <v>1</v>
      </c>
      <c r="F92" s="25">
        <f t="shared" si="4"/>
        <v>382.07547169811323</v>
      </c>
      <c r="G92" s="5">
        <v>44673</v>
      </c>
    </row>
    <row r="93" spans="1:7" s="1" customFormat="1" ht="12.75">
      <c r="A93" s="2" t="s">
        <v>1153</v>
      </c>
      <c r="B93" s="15">
        <f t="shared" si="3"/>
        <v>1</v>
      </c>
      <c r="C93" s="21">
        <v>0</v>
      </c>
      <c r="D93" s="21">
        <v>1</v>
      </c>
      <c r="E93" s="21">
        <v>0</v>
      </c>
      <c r="F93" s="25">
        <f t="shared" si="4"/>
        <v>0</v>
      </c>
      <c r="G93" s="4">
        <f>DATE(78,3,25)</f>
        <v>28574</v>
      </c>
    </row>
    <row r="94" spans="1:7" s="1" customFormat="1" ht="12.75">
      <c r="A94" s="2" t="s">
        <v>1315</v>
      </c>
      <c r="B94" s="15">
        <f t="shared" si="3"/>
        <v>2</v>
      </c>
      <c r="C94" s="21">
        <v>2</v>
      </c>
      <c r="D94" s="21">
        <v>0</v>
      </c>
      <c r="E94" s="21">
        <v>0</v>
      </c>
      <c r="F94" s="25">
        <f t="shared" si="4"/>
        <v>1000</v>
      </c>
      <c r="G94" s="4">
        <f>DATE(81,3,28)</f>
        <v>29673</v>
      </c>
    </row>
    <row r="95" spans="1:7" s="1" customFormat="1" ht="12.75">
      <c r="A95" s="2" t="s">
        <v>161</v>
      </c>
      <c r="B95" s="15">
        <f t="shared" si="3"/>
        <v>2</v>
      </c>
      <c r="C95" s="21">
        <v>2</v>
      </c>
      <c r="D95" s="21">
        <v>0</v>
      </c>
      <c r="E95" s="21">
        <v>0</v>
      </c>
      <c r="F95" s="25">
        <f t="shared" si="4"/>
        <v>1000</v>
      </c>
      <c r="G95" s="4">
        <v>14382</v>
      </c>
    </row>
    <row r="96" spans="1:7" s="1" customFormat="1" ht="12.75">
      <c r="A96" s="2" t="s">
        <v>251</v>
      </c>
      <c r="B96" s="15">
        <f t="shared" si="3"/>
        <v>1</v>
      </c>
      <c r="C96" s="21">
        <v>1</v>
      </c>
      <c r="D96" s="21">
        <v>0</v>
      </c>
      <c r="E96" s="21">
        <v>0</v>
      </c>
      <c r="F96" s="25">
        <f t="shared" si="4"/>
        <v>1000</v>
      </c>
      <c r="G96" s="4">
        <f>DATE(71,6,3)</f>
        <v>26087</v>
      </c>
    </row>
    <row r="97" spans="1:7" s="1" customFormat="1" ht="12.75">
      <c r="A97" s="2" t="s">
        <v>1357</v>
      </c>
      <c r="B97" s="15">
        <f t="shared" si="3"/>
        <v>1</v>
      </c>
      <c r="C97" s="21">
        <v>1</v>
      </c>
      <c r="D97" s="21">
        <v>0</v>
      </c>
      <c r="E97" s="21">
        <v>0</v>
      </c>
      <c r="F97" s="25">
        <f t="shared" si="4"/>
        <v>1000</v>
      </c>
      <c r="G97" s="4">
        <f>DATE(82,3,26)</f>
        <v>30036</v>
      </c>
    </row>
    <row r="98" spans="1:7" s="1" customFormat="1" ht="12.75">
      <c r="A98" s="2" t="s">
        <v>183</v>
      </c>
      <c r="B98" s="15">
        <f t="shared" si="3"/>
        <v>84</v>
      </c>
      <c r="C98" s="21">
        <v>48</v>
      </c>
      <c r="D98" s="21">
        <v>36</v>
      </c>
      <c r="E98" s="21">
        <v>0</v>
      </c>
      <c r="F98" s="25">
        <f t="shared" si="4"/>
        <v>571.4285714285714</v>
      </c>
      <c r="G98" s="5">
        <v>44697</v>
      </c>
    </row>
    <row r="99" spans="1:7" s="1" customFormat="1" ht="12.75">
      <c r="A99" s="2" t="s">
        <v>1555</v>
      </c>
      <c r="B99" s="15">
        <f t="shared" si="3"/>
        <v>1</v>
      </c>
      <c r="C99" s="21">
        <v>1</v>
      </c>
      <c r="D99" s="21">
        <v>0</v>
      </c>
      <c r="E99" s="21">
        <v>0</v>
      </c>
      <c r="F99" s="25">
        <f t="shared" si="4"/>
        <v>1000</v>
      </c>
      <c r="G99" s="4">
        <f>DATE(87,3,26)</f>
        <v>31862</v>
      </c>
    </row>
    <row r="100" spans="1:7" s="1" customFormat="1" ht="12.75">
      <c r="A100" s="2" t="s">
        <v>372</v>
      </c>
      <c r="B100" s="15">
        <f t="shared" si="3"/>
        <v>4</v>
      </c>
      <c r="C100" s="21">
        <v>4</v>
      </c>
      <c r="D100" s="21">
        <v>0</v>
      </c>
      <c r="E100" s="21">
        <v>0</v>
      </c>
      <c r="F100" s="25">
        <f t="shared" si="4"/>
        <v>1000</v>
      </c>
      <c r="G100" s="4">
        <f>DATE(65,5,13)</f>
        <v>23875</v>
      </c>
    </row>
    <row r="101" spans="1:7" s="1" customFormat="1" ht="12.75">
      <c r="A101" s="2" t="s">
        <v>370</v>
      </c>
      <c r="B101" s="15">
        <f t="shared" si="3"/>
        <v>12</v>
      </c>
      <c r="C101" s="21">
        <v>9</v>
      </c>
      <c r="D101" s="21">
        <v>3</v>
      </c>
      <c r="E101" s="21">
        <v>0</v>
      </c>
      <c r="F101" s="25">
        <f t="shared" si="4"/>
        <v>750</v>
      </c>
      <c r="G101" s="4">
        <f>DATE(63,5,15)</f>
        <v>23146</v>
      </c>
    </row>
    <row r="102" spans="1:7" s="1" customFormat="1" ht="12.75">
      <c r="A102" s="2" t="s">
        <v>269</v>
      </c>
      <c r="B102" s="15">
        <f t="shared" si="3"/>
        <v>3</v>
      </c>
      <c r="C102" s="21">
        <v>3</v>
      </c>
      <c r="D102" s="21">
        <v>0</v>
      </c>
      <c r="E102" s="21">
        <v>0</v>
      </c>
      <c r="F102" s="25">
        <f t="shared" si="4"/>
        <v>1000</v>
      </c>
      <c r="G102" s="4">
        <f>DATE(90,4,18)</f>
        <v>32981</v>
      </c>
    </row>
    <row r="103" spans="1:7" s="1" customFormat="1" ht="12.75">
      <c r="A103" s="2" t="s">
        <v>369</v>
      </c>
      <c r="B103" s="15">
        <f t="shared" si="3"/>
        <v>2</v>
      </c>
      <c r="C103" s="21">
        <v>2</v>
      </c>
      <c r="D103" s="21">
        <v>0</v>
      </c>
      <c r="E103" s="21">
        <v>0</v>
      </c>
      <c r="F103" s="25">
        <f t="shared" si="4"/>
        <v>1000</v>
      </c>
      <c r="G103" s="4">
        <f>DATE(55,5,12)</f>
        <v>20221</v>
      </c>
    </row>
    <row r="104" spans="1:7" s="1" customFormat="1" ht="12.75">
      <c r="A104" s="2" t="s">
        <v>324</v>
      </c>
      <c r="B104" s="15">
        <f t="shared" si="3"/>
        <v>1</v>
      </c>
      <c r="C104" s="21">
        <v>1</v>
      </c>
      <c r="D104" s="21">
        <v>0</v>
      </c>
      <c r="E104" s="21">
        <v>0</v>
      </c>
      <c r="F104" s="25">
        <f t="shared" si="4"/>
        <v>1000</v>
      </c>
      <c r="G104" s="5">
        <v>36318</v>
      </c>
    </row>
    <row r="105" spans="1:7" s="1" customFormat="1" ht="12.75">
      <c r="A105" s="2" t="s">
        <v>325</v>
      </c>
      <c r="B105" s="15">
        <f t="shared" si="3"/>
        <v>1</v>
      </c>
      <c r="C105" s="21">
        <v>0</v>
      </c>
      <c r="D105" s="21">
        <v>1</v>
      </c>
      <c r="E105" s="21">
        <v>0</v>
      </c>
      <c r="F105" s="25">
        <f t="shared" si="4"/>
        <v>0</v>
      </c>
      <c r="G105" s="5">
        <v>36321</v>
      </c>
    </row>
    <row r="106" spans="1:7" s="1" customFormat="1" ht="12.75">
      <c r="A106" s="2" t="s">
        <v>135</v>
      </c>
      <c r="B106" s="15">
        <f t="shared" si="3"/>
        <v>6</v>
      </c>
      <c r="C106" s="21">
        <v>2</v>
      </c>
      <c r="D106" s="21">
        <v>4</v>
      </c>
      <c r="E106" s="21">
        <v>0</v>
      </c>
      <c r="F106" s="25">
        <f t="shared" si="4"/>
        <v>333.3333333333333</v>
      </c>
      <c r="G106" s="5">
        <v>44712</v>
      </c>
    </row>
    <row r="107" spans="1:7" s="1" customFormat="1" ht="12.75">
      <c r="A107" s="2" t="s">
        <v>2174</v>
      </c>
      <c r="B107" s="15">
        <f t="shared" si="3"/>
        <v>1</v>
      </c>
      <c r="C107" s="21">
        <v>0</v>
      </c>
      <c r="D107" s="21">
        <v>1</v>
      </c>
      <c r="E107" s="21">
        <v>0</v>
      </c>
      <c r="F107" s="25">
        <f t="shared" si="4"/>
        <v>0</v>
      </c>
      <c r="G107" s="5">
        <v>42891</v>
      </c>
    </row>
    <row r="108" spans="1:7" s="1" customFormat="1" ht="12.75">
      <c r="A108" s="2" t="s">
        <v>1316</v>
      </c>
      <c r="B108" s="15">
        <f t="shared" si="3"/>
        <v>2</v>
      </c>
      <c r="C108" s="21">
        <v>2</v>
      </c>
      <c r="D108" s="21">
        <v>0</v>
      </c>
      <c r="E108" s="21">
        <v>0</v>
      </c>
      <c r="F108" s="25">
        <f t="shared" si="4"/>
        <v>1000</v>
      </c>
      <c r="G108" s="4">
        <f>DATE(91,3,22)</f>
        <v>33319</v>
      </c>
    </row>
    <row r="109" spans="1:7" s="1" customFormat="1" ht="12.75">
      <c r="A109" s="2" t="s">
        <v>375</v>
      </c>
      <c r="B109" s="15">
        <f t="shared" si="3"/>
        <v>3</v>
      </c>
      <c r="C109" s="21">
        <v>3</v>
      </c>
      <c r="D109" s="21">
        <v>0</v>
      </c>
      <c r="E109" s="21">
        <v>0</v>
      </c>
      <c r="F109" s="25">
        <f t="shared" si="4"/>
        <v>1000</v>
      </c>
      <c r="G109" s="4">
        <f>DATE(77,5,21)</f>
        <v>28266</v>
      </c>
    </row>
    <row r="110" spans="1:7" s="1" customFormat="1" ht="12.75">
      <c r="A110" s="2" t="s">
        <v>367</v>
      </c>
      <c r="B110" s="15">
        <f t="shared" si="3"/>
        <v>84</v>
      </c>
      <c r="C110" s="21">
        <v>56</v>
      </c>
      <c r="D110" s="21">
        <v>27</v>
      </c>
      <c r="E110" s="21">
        <v>1</v>
      </c>
      <c r="F110" s="25">
        <f t="shared" si="4"/>
        <v>672.6190476190477</v>
      </c>
      <c r="G110" s="5">
        <v>44707</v>
      </c>
    </row>
    <row r="111" spans="1:7" s="1" customFormat="1" ht="12.75">
      <c r="A111" s="2" t="s">
        <v>1518</v>
      </c>
      <c r="B111" s="15">
        <f t="shared" si="3"/>
        <v>1</v>
      </c>
      <c r="C111" s="21">
        <v>1</v>
      </c>
      <c r="D111" s="21">
        <v>0</v>
      </c>
      <c r="E111" s="21">
        <v>0</v>
      </c>
      <c r="F111" s="25">
        <f t="shared" si="4"/>
        <v>1000</v>
      </c>
      <c r="G111" s="4">
        <f>DATE(86,3,27)</f>
        <v>31498</v>
      </c>
    </row>
    <row r="112" spans="1:7" s="1" customFormat="1" ht="12.75">
      <c r="A112" s="2" t="s">
        <v>175</v>
      </c>
      <c r="B112" s="15">
        <f t="shared" si="3"/>
        <v>84</v>
      </c>
      <c r="C112" s="21">
        <v>33</v>
      </c>
      <c r="D112" s="21">
        <v>51</v>
      </c>
      <c r="E112" s="21">
        <v>0</v>
      </c>
      <c r="F112" s="25">
        <f t="shared" si="4"/>
        <v>392.85714285714283</v>
      </c>
      <c r="G112" s="5">
        <v>40269</v>
      </c>
    </row>
    <row r="113" spans="1:7" s="1" customFormat="1" ht="12.75">
      <c r="A113" s="2" t="s">
        <v>1360</v>
      </c>
      <c r="B113" s="15">
        <f t="shared" si="3"/>
        <v>2</v>
      </c>
      <c r="C113" s="21">
        <v>2</v>
      </c>
      <c r="D113" s="21">
        <v>0</v>
      </c>
      <c r="E113" s="21">
        <v>0</v>
      </c>
      <c r="F113" s="25">
        <f t="shared" si="4"/>
        <v>1000</v>
      </c>
      <c r="G113" s="4">
        <f>DATE(82,3,27)</f>
        <v>30037</v>
      </c>
    </row>
    <row r="114" spans="1:7" s="1" customFormat="1" ht="12.75">
      <c r="A114" s="2" t="s">
        <v>195</v>
      </c>
      <c r="B114" s="15">
        <f t="shared" si="3"/>
        <v>2</v>
      </c>
      <c r="C114" s="21">
        <v>2</v>
      </c>
      <c r="D114" s="21">
        <v>0</v>
      </c>
      <c r="E114" s="21">
        <v>0</v>
      </c>
      <c r="F114" s="25">
        <f t="shared" si="4"/>
        <v>1000</v>
      </c>
      <c r="G114" s="4">
        <v>18035</v>
      </c>
    </row>
    <row r="115" spans="1:7" s="1" customFormat="1" ht="12.75">
      <c r="A115" s="2" t="s">
        <v>1312</v>
      </c>
      <c r="B115" s="15">
        <f t="shared" si="3"/>
        <v>1</v>
      </c>
      <c r="C115" s="21">
        <v>0</v>
      </c>
      <c r="D115" s="21">
        <v>1</v>
      </c>
      <c r="E115" s="21">
        <v>0</v>
      </c>
      <c r="F115" s="25">
        <f t="shared" si="4"/>
        <v>0</v>
      </c>
      <c r="G115" s="4">
        <f>DATE(81,3,25)</f>
        <v>29670</v>
      </c>
    </row>
    <row r="116" spans="1:7" s="1" customFormat="1" ht="12.75">
      <c r="A116" s="2" t="s">
        <v>1363</v>
      </c>
      <c r="B116" s="15">
        <f t="shared" si="3"/>
        <v>1</v>
      </c>
      <c r="C116" s="21">
        <v>1</v>
      </c>
      <c r="D116" s="21">
        <v>0</v>
      </c>
      <c r="E116" s="21">
        <v>0</v>
      </c>
      <c r="F116" s="25">
        <f t="shared" si="4"/>
        <v>1000</v>
      </c>
      <c r="G116" s="4">
        <f>DATE(82,3,27)</f>
        <v>30037</v>
      </c>
    </row>
    <row r="117" spans="1:7" s="1" customFormat="1" ht="12.75">
      <c r="A117" s="2" t="s">
        <v>1463</v>
      </c>
      <c r="B117" s="15">
        <f t="shared" si="3"/>
        <v>1</v>
      </c>
      <c r="C117" s="21">
        <v>1</v>
      </c>
      <c r="D117" s="21">
        <v>0</v>
      </c>
      <c r="E117" s="21">
        <v>0</v>
      </c>
      <c r="F117" s="25">
        <f t="shared" si="4"/>
        <v>1000</v>
      </c>
      <c r="G117" s="4">
        <f>DATE(84,4,28)</f>
        <v>30800</v>
      </c>
    </row>
    <row r="118" spans="1:7" s="1" customFormat="1" ht="12.75">
      <c r="A118" s="2" t="s">
        <v>297</v>
      </c>
      <c r="B118" s="15">
        <f t="shared" si="3"/>
        <v>27</v>
      </c>
      <c r="C118" s="21">
        <v>14</v>
      </c>
      <c r="D118" s="21">
        <v>13</v>
      </c>
      <c r="E118" s="21">
        <v>0</v>
      </c>
      <c r="F118" s="25">
        <f t="shared" si="4"/>
        <v>518.5185185185185</v>
      </c>
      <c r="G118" s="5">
        <v>44684</v>
      </c>
    </row>
    <row r="119" spans="1:7" s="1" customFormat="1" ht="12.75">
      <c r="A119" s="2" t="s">
        <v>390</v>
      </c>
      <c r="B119" s="15">
        <f t="shared" si="3"/>
        <v>1</v>
      </c>
      <c r="C119" s="21">
        <v>0</v>
      </c>
      <c r="D119" s="21">
        <v>1</v>
      </c>
      <c r="E119" s="21">
        <v>0</v>
      </c>
      <c r="F119" s="25">
        <f t="shared" si="4"/>
        <v>0</v>
      </c>
      <c r="G119" s="4">
        <f>DATE(86,6,13)</f>
        <v>31576</v>
      </c>
    </row>
    <row r="120" spans="1:7" s="1" customFormat="1" ht="12.75">
      <c r="A120" s="2" t="s">
        <v>387</v>
      </c>
      <c r="B120" s="15">
        <f t="shared" si="3"/>
        <v>1</v>
      </c>
      <c r="C120" s="21">
        <v>0</v>
      </c>
      <c r="D120" s="21">
        <v>1</v>
      </c>
      <c r="E120" s="21">
        <v>0</v>
      </c>
      <c r="F120" s="25">
        <f t="shared" si="4"/>
        <v>0</v>
      </c>
      <c r="G120" s="4">
        <f>DATE(80,6,10)</f>
        <v>29382</v>
      </c>
    </row>
    <row r="121" spans="1:7" s="1" customFormat="1" ht="12.75">
      <c r="A121" s="2" t="s">
        <v>1442</v>
      </c>
      <c r="B121" s="15">
        <f t="shared" si="3"/>
        <v>2</v>
      </c>
      <c r="C121" s="21">
        <v>2</v>
      </c>
      <c r="D121" s="21">
        <v>0</v>
      </c>
      <c r="E121" s="21">
        <v>0</v>
      </c>
      <c r="F121" s="25">
        <f t="shared" si="4"/>
        <v>1000</v>
      </c>
      <c r="G121" s="4">
        <f>DATE(87,3,27)</f>
        <v>31863</v>
      </c>
    </row>
    <row r="122" spans="1:7" s="1" customFormat="1" ht="12.75">
      <c r="A122" s="2" t="s">
        <v>259</v>
      </c>
      <c r="B122" s="15">
        <f t="shared" si="3"/>
        <v>4</v>
      </c>
      <c r="C122" s="21">
        <v>0</v>
      </c>
      <c r="D122" s="21">
        <v>4</v>
      </c>
      <c r="E122" s="21">
        <v>0</v>
      </c>
      <c r="F122" s="25">
        <f t="shared" si="4"/>
        <v>0</v>
      </c>
      <c r="G122" s="8">
        <v>37756</v>
      </c>
    </row>
    <row r="123" spans="1:7" s="1" customFormat="1" ht="12.75">
      <c r="A123" s="2" t="s">
        <v>371</v>
      </c>
      <c r="B123" s="15">
        <f t="shared" si="3"/>
        <v>23</v>
      </c>
      <c r="C123" s="21">
        <v>18</v>
      </c>
      <c r="D123" s="21">
        <v>5</v>
      </c>
      <c r="E123" s="21">
        <v>0</v>
      </c>
      <c r="F123" s="25">
        <f t="shared" si="4"/>
        <v>782.608695652174</v>
      </c>
      <c r="G123" s="5">
        <v>39573</v>
      </c>
    </row>
    <row r="124" spans="1:7" s="1" customFormat="1" ht="12.75">
      <c r="A124" s="2" t="s">
        <v>386</v>
      </c>
      <c r="B124" s="15">
        <f t="shared" si="3"/>
        <v>1</v>
      </c>
      <c r="C124" s="21">
        <v>0</v>
      </c>
      <c r="D124" s="21">
        <v>1</v>
      </c>
      <c r="E124" s="21">
        <v>0</v>
      </c>
      <c r="F124" s="25">
        <f t="shared" si="4"/>
        <v>0</v>
      </c>
      <c r="G124" s="4">
        <f>DATE(79,5,12)</f>
        <v>28987</v>
      </c>
    </row>
    <row r="125" spans="1:7" s="1" customFormat="1" ht="12.75">
      <c r="A125" s="2" t="s">
        <v>1397</v>
      </c>
      <c r="B125" s="15">
        <f t="shared" si="3"/>
        <v>2</v>
      </c>
      <c r="C125" s="21">
        <v>1</v>
      </c>
      <c r="D125" s="21">
        <v>1</v>
      </c>
      <c r="E125" s="21">
        <v>0</v>
      </c>
      <c r="F125" s="25">
        <f t="shared" si="4"/>
        <v>500</v>
      </c>
      <c r="G125" s="4">
        <f>DATE(83,3,31)</f>
        <v>30406</v>
      </c>
    </row>
    <row r="126" spans="1:7" s="1" customFormat="1" ht="12.75">
      <c r="A126" s="2" t="s">
        <v>1235</v>
      </c>
      <c r="B126" s="15">
        <f t="shared" si="3"/>
        <v>1</v>
      </c>
      <c r="C126" s="21">
        <v>1</v>
      </c>
      <c r="D126" s="21">
        <v>0</v>
      </c>
      <c r="E126" s="21">
        <v>0</v>
      </c>
      <c r="F126" s="25">
        <f t="shared" si="4"/>
        <v>1000</v>
      </c>
      <c r="G126" s="4">
        <f>DATE(80,4,2)</f>
        <v>29313</v>
      </c>
    </row>
    <row r="127" spans="1:7" s="1" customFormat="1" ht="12.75">
      <c r="A127" s="2" t="s">
        <v>1742</v>
      </c>
      <c r="B127" s="15">
        <f t="shared" si="3"/>
        <v>2</v>
      </c>
      <c r="C127" s="21">
        <v>1</v>
      </c>
      <c r="D127" s="21">
        <v>1</v>
      </c>
      <c r="E127" s="21">
        <v>0</v>
      </c>
      <c r="F127" s="25">
        <f t="shared" si="4"/>
        <v>500</v>
      </c>
      <c r="G127" s="5">
        <v>39921</v>
      </c>
    </row>
    <row r="128" spans="1:7" s="1" customFormat="1" ht="12.75">
      <c r="A128" s="2" t="s">
        <v>165</v>
      </c>
      <c r="B128" s="15">
        <f t="shared" si="3"/>
        <v>4</v>
      </c>
      <c r="C128" s="21">
        <v>3</v>
      </c>
      <c r="D128" s="21">
        <v>1</v>
      </c>
      <c r="E128" s="21">
        <v>0</v>
      </c>
      <c r="F128" s="25">
        <f t="shared" si="4"/>
        <v>750</v>
      </c>
      <c r="G128" s="4">
        <v>14766</v>
      </c>
    </row>
    <row r="129" spans="1:7" s="1" customFormat="1" ht="12.75">
      <c r="A129" s="2" t="s">
        <v>254</v>
      </c>
      <c r="B129" s="15">
        <f t="shared" si="3"/>
        <v>13</v>
      </c>
      <c r="C129" s="21">
        <v>1</v>
      </c>
      <c r="D129" s="21">
        <v>12</v>
      </c>
      <c r="E129" s="21">
        <v>0</v>
      </c>
      <c r="F129" s="25">
        <f t="shared" si="4"/>
        <v>76.92307692307693</v>
      </c>
      <c r="G129" s="5">
        <v>40287</v>
      </c>
    </row>
    <row r="130" spans="1:7" s="1" customFormat="1" ht="12.75">
      <c r="A130" s="2" t="s">
        <v>1147</v>
      </c>
      <c r="B130" s="15">
        <f t="shared" si="3"/>
        <v>2</v>
      </c>
      <c r="C130" s="21">
        <v>2</v>
      </c>
      <c r="D130" s="21">
        <v>0</v>
      </c>
      <c r="E130" s="21">
        <v>0</v>
      </c>
      <c r="F130" s="25">
        <f t="shared" si="4"/>
        <v>1000</v>
      </c>
      <c r="G130" s="4">
        <f>DATE(78,3,24)</f>
        <v>28573</v>
      </c>
    </row>
    <row r="131" spans="1:7" s="1" customFormat="1" ht="12.75">
      <c r="A131" s="2" t="s">
        <v>328</v>
      </c>
      <c r="B131" s="15">
        <f t="shared" si="3"/>
        <v>5</v>
      </c>
      <c r="C131" s="21">
        <v>4</v>
      </c>
      <c r="D131" s="21">
        <v>1</v>
      </c>
      <c r="E131" s="21">
        <v>0</v>
      </c>
      <c r="F131" s="25">
        <f t="shared" si="4"/>
        <v>800</v>
      </c>
      <c r="G131" s="4">
        <v>15493</v>
      </c>
    </row>
    <row r="132" spans="1:7" s="1" customFormat="1" ht="12.75">
      <c r="A132" s="2" t="s">
        <v>625</v>
      </c>
      <c r="B132" s="15">
        <f t="shared" si="3"/>
        <v>1</v>
      </c>
      <c r="C132" s="21">
        <v>1</v>
      </c>
      <c r="D132" s="21">
        <v>0</v>
      </c>
      <c r="E132" s="21">
        <v>0</v>
      </c>
      <c r="F132" s="25">
        <f t="shared" si="4"/>
        <v>1000</v>
      </c>
      <c r="G132" s="4">
        <f>DATE(81,3,28)</f>
        <v>29673</v>
      </c>
    </row>
    <row r="133" spans="1:7" s="1" customFormat="1" ht="13.5" thickBot="1">
      <c r="A133" s="22"/>
      <c r="B133" s="23">
        <f>SUM(B5:B132)</f>
        <v>1474</v>
      </c>
      <c r="C133" s="24">
        <f>SUM(C5:C132)</f>
        <v>856</v>
      </c>
      <c r="D133" s="24">
        <f>SUM(D5:D132)</f>
        <v>610</v>
      </c>
      <c r="E133" s="24">
        <f>SUM(E5:E132)</f>
        <v>8</v>
      </c>
      <c r="F133" s="26">
        <f t="shared" si="4"/>
        <v>583.4464043419267</v>
      </c>
      <c r="G133" s="24"/>
    </row>
    <row r="134" spans="2:6" s="1" customFormat="1" ht="13.5" thickTop="1">
      <c r="B134" s="12"/>
      <c r="C134" s="12"/>
      <c r="D134" s="16"/>
      <c r="E134" s="12"/>
      <c r="F134" s="12"/>
    </row>
    <row r="135" spans="2:6" s="1" customFormat="1" ht="12.75">
      <c r="B135" s="12"/>
      <c r="C135" s="12"/>
      <c r="D135" s="16"/>
      <c r="E135" s="12"/>
      <c r="F135" s="12"/>
    </row>
    <row r="136" spans="2:6" s="1" customFormat="1" ht="12.75">
      <c r="B136" s="12"/>
      <c r="C136" s="12"/>
      <c r="D136" s="16"/>
      <c r="E136" s="12"/>
      <c r="F136" s="12"/>
    </row>
    <row r="137" spans="2:6" s="1" customFormat="1" ht="12.75">
      <c r="B137" s="12"/>
      <c r="C137" s="12"/>
      <c r="D137" s="16"/>
      <c r="E137" s="12"/>
      <c r="F137" s="12"/>
    </row>
    <row r="138" spans="2:6" s="1" customFormat="1" ht="12.75">
      <c r="B138" s="12"/>
      <c r="C138" s="12"/>
      <c r="D138" s="16"/>
      <c r="E138" s="12"/>
      <c r="F138" s="12"/>
    </row>
    <row r="139" spans="2:6" s="1" customFormat="1" ht="12.75">
      <c r="B139" s="12"/>
      <c r="C139" s="12"/>
      <c r="D139" s="16"/>
      <c r="E139" s="12"/>
      <c r="F139" s="12"/>
    </row>
    <row r="140" spans="2:6" s="1" customFormat="1" ht="12.75">
      <c r="B140" s="12"/>
      <c r="C140" s="12"/>
      <c r="D140" s="16"/>
      <c r="E140" s="12"/>
      <c r="F140" s="12"/>
    </row>
    <row r="141" spans="2:6" s="1" customFormat="1" ht="12.75">
      <c r="B141" s="12"/>
      <c r="C141" s="12"/>
      <c r="D141" s="16"/>
      <c r="E141" s="12"/>
      <c r="F141" s="12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r:id="rId1"/>
  <headerFooter>
    <oddFooter>&amp;C&amp;"Times New Roman,Regular"&amp;10&amp;P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VCCR</dc:creator>
  <cp:keywords/>
  <dc:description/>
  <cp:lastModifiedBy>Richard Ogden</cp:lastModifiedBy>
  <cp:lastPrinted>2022-06-02T12:33:19Z</cp:lastPrinted>
  <dcterms:created xsi:type="dcterms:W3CDTF">2003-12-08T02:38:17Z</dcterms:created>
  <dcterms:modified xsi:type="dcterms:W3CDTF">2022-07-23T19:07:05Z</dcterms:modified>
  <cp:category/>
  <cp:version/>
  <cp:contentType/>
  <cp:contentStatus/>
</cp:coreProperties>
</file>